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1495" windowHeight="10530" firstSheet="6" activeTab="7"/>
  </bookViews>
  <sheets>
    <sheet name="表一 收入支出决算总表" sheetId="1" r:id="rId1"/>
    <sheet name="表二 收入决算表" sheetId="2" r:id="rId2"/>
    <sheet name="表三 支出决算表" sheetId="3" r:id="rId3"/>
    <sheet name="表四 财政拨款收入支出决算总表" sheetId="4" r:id="rId4"/>
    <sheet name="表五 一般公共预算财政拨款支出决算表    " sheetId="5" r:id="rId5"/>
    <sheet name="表六 一般公共预算财政拨款基本支出决算表" sheetId="8" r:id="rId6"/>
    <sheet name="表七 一般公共预算财政拨款安排的“三公”经费支出决算表" sheetId="9" r:id="rId7"/>
    <sheet name="表八 政府性基金预算财政拨款收入支出决算表" sheetId="10" r:id="rId8"/>
  </sheets>
  <definedNames>
    <definedName name="_xlnm.Print_Titles" localSheetId="1">'表二 收入决算表'!$3:$3</definedName>
    <definedName name="_xlnm.Print_Titles" localSheetId="2">'表三 支出决算表'!$3:$4</definedName>
    <definedName name="_xlnm.Print_Titles" localSheetId="4">'表五 一般公共预算财政拨款支出决算表    '!$3:$6</definedName>
  </definedNames>
  <calcPr calcId="114210" fullCalcOnLoad="1"/>
</workbook>
</file>

<file path=xl/calcChain.xml><?xml version="1.0" encoding="utf-8"?>
<calcChain xmlns="http://schemas.openxmlformats.org/spreadsheetml/2006/main">
  <c r="A7" i="9"/>
  <c r="F34" i="8"/>
  <c r="C34"/>
  <c r="C28" i="5"/>
  <c r="C27"/>
  <c r="C26"/>
  <c r="C25"/>
  <c r="C24"/>
  <c r="C23"/>
  <c r="C22"/>
  <c r="C21"/>
  <c r="C20"/>
  <c r="C19"/>
  <c r="C18"/>
  <c r="C17"/>
  <c r="C16"/>
  <c r="C15"/>
  <c r="C14"/>
  <c r="C13"/>
  <c r="C12"/>
  <c r="C11"/>
  <c r="C10"/>
  <c r="C9"/>
  <c r="C8"/>
  <c r="C7"/>
  <c r="H20" i="4"/>
  <c r="G20"/>
  <c r="F20"/>
  <c r="C20"/>
  <c r="G19"/>
  <c r="F19"/>
  <c r="C19"/>
  <c r="H18"/>
  <c r="G18"/>
  <c r="F18"/>
  <c r="C18"/>
  <c r="H17"/>
  <c r="G17"/>
  <c r="F17"/>
  <c r="C17"/>
  <c r="H16"/>
  <c r="G16"/>
  <c r="F16"/>
  <c r="C16"/>
  <c r="H15"/>
  <c r="F15"/>
  <c r="G14"/>
  <c r="F14"/>
  <c r="G13"/>
  <c r="F13"/>
  <c r="G12"/>
  <c r="F12"/>
  <c r="H11"/>
  <c r="G11"/>
  <c r="F11"/>
  <c r="G10"/>
  <c r="F10"/>
  <c r="G9"/>
  <c r="F9"/>
  <c r="G8"/>
  <c r="F8"/>
  <c r="C8"/>
  <c r="G7"/>
  <c r="F7"/>
  <c r="C7"/>
  <c r="D72" i="3"/>
  <c r="C72"/>
  <c r="D71"/>
  <c r="C71"/>
  <c r="E70"/>
  <c r="C70"/>
  <c r="E69"/>
  <c r="C69"/>
  <c r="E68"/>
  <c r="D68"/>
  <c r="C68"/>
  <c r="D67"/>
  <c r="C67"/>
  <c r="E66"/>
  <c r="D66"/>
  <c r="C66"/>
  <c r="E65"/>
  <c r="D65"/>
  <c r="C65"/>
  <c r="D64"/>
  <c r="C64"/>
  <c r="D63"/>
  <c r="C63"/>
  <c r="D62"/>
  <c r="C62"/>
  <c r="E61"/>
  <c r="C61"/>
  <c r="E60"/>
  <c r="C60"/>
  <c r="E59"/>
  <c r="C59"/>
  <c r="E58"/>
  <c r="C58"/>
  <c r="E57"/>
  <c r="C57"/>
  <c r="E56"/>
  <c r="D56"/>
  <c r="C56"/>
  <c r="E55"/>
  <c r="C55"/>
  <c r="E54"/>
  <c r="C54"/>
  <c r="E53"/>
  <c r="C53"/>
  <c r="E52"/>
  <c r="C52"/>
  <c r="E51"/>
  <c r="C51"/>
  <c r="E50"/>
  <c r="C50"/>
  <c r="E49"/>
  <c r="C49"/>
  <c r="E48"/>
  <c r="C48"/>
  <c r="E47"/>
  <c r="D47"/>
  <c r="C47"/>
  <c r="E46"/>
  <c r="D46"/>
  <c r="C46"/>
  <c r="D45"/>
  <c r="C45"/>
  <c r="E44"/>
  <c r="C44"/>
  <c r="E43"/>
  <c r="D43"/>
  <c r="C43"/>
  <c r="E42"/>
  <c r="C42"/>
  <c r="E41"/>
  <c r="C41"/>
  <c r="E40"/>
  <c r="C40"/>
  <c r="E39"/>
  <c r="C39"/>
  <c r="E38"/>
  <c r="D38"/>
  <c r="C38"/>
  <c r="E37"/>
  <c r="D37"/>
  <c r="C37"/>
  <c r="E36"/>
  <c r="C36"/>
  <c r="E35"/>
  <c r="C35"/>
  <c r="E34"/>
  <c r="D34"/>
  <c r="C34"/>
  <c r="E33"/>
  <c r="D33"/>
  <c r="C33"/>
  <c r="E32"/>
  <c r="C32"/>
  <c r="E31"/>
  <c r="C31"/>
  <c r="E30"/>
  <c r="D30"/>
  <c r="C30"/>
  <c r="E29"/>
  <c r="C29"/>
  <c r="E28"/>
  <c r="C28"/>
  <c r="E27"/>
  <c r="D27"/>
  <c r="C27"/>
  <c r="E26"/>
  <c r="D26"/>
  <c r="C26"/>
  <c r="E25"/>
  <c r="D25"/>
  <c r="C25"/>
  <c r="E24"/>
  <c r="C24"/>
  <c r="E23"/>
  <c r="C23"/>
  <c r="E22"/>
  <c r="C22"/>
  <c r="D21"/>
  <c r="C21"/>
  <c r="D20"/>
  <c r="C20"/>
  <c r="D19"/>
  <c r="C19"/>
  <c r="D18"/>
  <c r="C18"/>
  <c r="D17"/>
  <c r="C17"/>
  <c r="D16"/>
  <c r="C16"/>
  <c r="D15"/>
  <c r="C15"/>
  <c r="D14"/>
  <c r="C14"/>
  <c r="D13"/>
  <c r="C13"/>
  <c r="D12"/>
  <c r="C12"/>
  <c r="D11"/>
  <c r="C11"/>
  <c r="D10"/>
  <c r="C10"/>
  <c r="E9"/>
  <c r="C9"/>
  <c r="E8"/>
  <c r="C8"/>
  <c r="E7"/>
  <c r="C7"/>
  <c r="E6"/>
  <c r="D6"/>
  <c r="C6"/>
  <c r="I57" i="2"/>
  <c r="C57"/>
  <c r="I56"/>
  <c r="C56"/>
  <c r="D55"/>
  <c r="C55"/>
  <c r="D54"/>
  <c r="C54"/>
  <c r="I53"/>
  <c r="D53"/>
  <c r="C53"/>
  <c r="I52"/>
  <c r="D52"/>
  <c r="C52"/>
  <c r="I51"/>
  <c r="D51"/>
  <c r="C51"/>
  <c r="I50"/>
  <c r="D50"/>
  <c r="C50"/>
  <c r="D49"/>
  <c r="C49"/>
  <c r="D48"/>
  <c r="C48"/>
  <c r="D47"/>
  <c r="C47"/>
  <c r="D46"/>
  <c r="C46"/>
  <c r="D45"/>
  <c r="C45"/>
  <c r="D44"/>
  <c r="C44"/>
  <c r="D43"/>
  <c r="C43"/>
  <c r="I42"/>
  <c r="D42"/>
  <c r="C42"/>
  <c r="D41"/>
  <c r="C41"/>
  <c r="D40"/>
  <c r="C40"/>
  <c r="D39"/>
  <c r="C39"/>
  <c r="D38"/>
  <c r="C38"/>
  <c r="D37"/>
  <c r="C37"/>
  <c r="D36"/>
  <c r="C36"/>
  <c r="D35"/>
  <c r="C35"/>
  <c r="D34"/>
  <c r="C34"/>
  <c r="D33"/>
  <c r="C33"/>
  <c r="D32"/>
  <c r="C32"/>
  <c r="D31"/>
  <c r="C31"/>
  <c r="D30"/>
  <c r="C30"/>
  <c r="D29"/>
  <c r="C29"/>
  <c r="D28"/>
  <c r="C28"/>
  <c r="I27"/>
  <c r="E27"/>
  <c r="D27"/>
  <c r="C27"/>
  <c r="I26"/>
  <c r="E26"/>
  <c r="D26"/>
  <c r="C26"/>
  <c r="D25"/>
  <c r="C25"/>
  <c r="D24"/>
  <c r="C24"/>
  <c r="I23"/>
  <c r="E23"/>
  <c r="D23"/>
  <c r="C23"/>
  <c r="D22"/>
  <c r="C22"/>
  <c r="D21"/>
  <c r="C21"/>
  <c r="I20"/>
  <c r="E20"/>
  <c r="D20"/>
  <c r="C20"/>
  <c r="I19"/>
  <c r="E19"/>
  <c r="D19"/>
  <c r="C19"/>
  <c r="D18"/>
  <c r="C18"/>
  <c r="D17"/>
  <c r="C17"/>
  <c r="D16"/>
  <c r="C16"/>
  <c r="D15"/>
  <c r="C15"/>
  <c r="D14"/>
  <c r="C14"/>
  <c r="D13"/>
  <c r="C13"/>
  <c r="D12"/>
  <c r="C12"/>
  <c r="D11"/>
  <c r="C11"/>
  <c r="D10"/>
  <c r="C10"/>
  <c r="D9"/>
  <c r="C9"/>
  <c r="D8"/>
  <c r="C8"/>
  <c r="D7"/>
  <c r="C7"/>
  <c r="I6"/>
  <c r="E6"/>
  <c r="D6"/>
  <c r="C6"/>
  <c r="D27" i="1"/>
  <c r="B27"/>
  <c r="D20"/>
  <c r="B20"/>
  <c r="D19"/>
  <c r="B19"/>
  <c r="D18"/>
  <c r="B18"/>
  <c r="D14"/>
  <c r="D13"/>
  <c r="D12"/>
  <c r="D11"/>
  <c r="D10"/>
  <c r="D9"/>
  <c r="D8"/>
  <c r="B8"/>
  <c r="D7"/>
  <c r="B7"/>
  <c r="D6"/>
  <c r="B6"/>
</calcChain>
</file>

<file path=xl/sharedStrings.xml><?xml version="1.0" encoding="utf-8"?>
<sst xmlns="http://schemas.openxmlformats.org/spreadsheetml/2006/main" count="625" uniqueCount="283">
  <si>
    <t>表一：收入支出决算总表</t>
  </si>
  <si>
    <t>单位：万元</t>
  </si>
  <si>
    <t>收入</t>
  </si>
  <si>
    <t>支出</t>
  </si>
  <si>
    <t>项目</t>
  </si>
  <si>
    <t>决算数</t>
  </si>
  <si>
    <t>一、财政拨款收入</t>
  </si>
  <si>
    <t>一、一般公共服务支出</t>
  </si>
  <si>
    <t>二、上级补助收入</t>
  </si>
  <si>
    <t>二、社会保障和就业支出</t>
  </si>
  <si>
    <t>三、其他收入</t>
  </si>
  <si>
    <t>三、医疗卫生与计划生育支出</t>
  </si>
  <si>
    <t/>
  </si>
  <si>
    <t>四、节能环保支出</t>
  </si>
  <si>
    <t>五、城乡社区支出</t>
  </si>
  <si>
    <t>六、农林水支出</t>
  </si>
  <si>
    <t>七、资源勘探信息等支出</t>
  </si>
  <si>
    <t>八、住房保障支出</t>
  </si>
  <si>
    <t>九、其他支出</t>
  </si>
  <si>
    <t>本年收入合计</t>
  </si>
  <si>
    <t>本年支出合计</t>
  </si>
  <si>
    <t xml:space="preserve">    用事业基金弥补收支差额</t>
  </si>
  <si>
    <t xml:space="preserve">    结余分配</t>
  </si>
  <si>
    <t xml:space="preserve">    年初结转和结余</t>
  </si>
  <si>
    <t xml:space="preserve">    年末结转和结余</t>
  </si>
  <si>
    <t>总计</t>
  </si>
  <si>
    <t xml:space="preserve">注：本表反映部门本年度的总收支和年末结转结余情况。    
</t>
  </si>
  <si>
    <t>表二：收入决算表</t>
  </si>
  <si>
    <t>支出功能项目</t>
  </si>
  <si>
    <t>财政拨款收入</t>
  </si>
  <si>
    <t>上级补助收入</t>
  </si>
  <si>
    <t>事业收入</t>
  </si>
  <si>
    <t>经营收入</t>
  </si>
  <si>
    <t>附属单位上缴收入</t>
  </si>
  <si>
    <t>其他收入</t>
  </si>
  <si>
    <t>科目编码</t>
  </si>
  <si>
    <t>科目名称</t>
  </si>
  <si>
    <t>栏次</t>
  </si>
  <si>
    <t>合计</t>
  </si>
  <si>
    <t>208</t>
  </si>
  <si>
    <t>社会保障和就业支出</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</si>
  <si>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</si>
  <si>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</si>
  <si>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</si>
  <si>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</si>
  <si>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</si>
  <si>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</si>
  <si>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</si>
  <si>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</si>
  <si>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</si>
  <si>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</si>
  <si>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</si>
  <si>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医疗卫生与计划生育支出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</si>
  <si>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</si>
  <si>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</si>
  <si>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</si>
  <si>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</si>
  <si>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</si>
  <si>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</si>
  <si>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</si>
  <si>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</si>
  <si>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</si>
  <si>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</si>
  <si>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</si>
  <si>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</si>
  <si>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</si>
  <si>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城乡社区管理事务</t>
  </si>
  <si>
    <t>2120101</t>
  </si>
  <si>
    <t xml:space="preserve">  行政运行</t>
  </si>
  <si>
    <t>2120102</t>
  </si>
  <si>
    <t xml:space="preserve">  一般行政管理事务</t>
  </si>
  <si>
    <t>2120199</t>
  </si>
  <si>
    <t xml:space="preserve">  其他城乡社区管理事务支出</t>
  </si>
  <si>
    <t>21203</t>
  </si>
  <si>
    <t>城乡社区公共设施</t>
  </si>
  <si>
    <t>2120399</t>
  </si>
  <si>
    <t xml:space="preserve">  其他城乡社区公共设施支出</t>
  </si>
  <si>
    <t>21206</t>
  </si>
  <si>
    <t>建设市场管理与监督</t>
  </si>
  <si>
    <t>2120601</t>
  </si>
  <si>
    <t xml:space="preserve">  建设市场管理与监督</t>
  </si>
  <si>
    <t>21208</t>
  </si>
  <si>
    <t>国有土地使用权出让收入及对应专项债务收入安排的支出</t>
  </si>
  <si>
    <t>2120803</t>
  </si>
  <si>
    <t xml:space="preserve">  城市建设支出</t>
  </si>
  <si>
    <t>2120811</t>
  </si>
  <si>
    <t xml:space="preserve">  公共租赁住房支出</t>
  </si>
  <si>
    <t>2120899</t>
  </si>
  <si>
    <t xml:space="preserve">  其他国有土地使用权出让收入安排的支出</t>
  </si>
  <si>
    <t>21213</t>
  </si>
  <si>
    <t>城市基础设施配套费及对应专项债务收入安排的支出</t>
  </si>
  <si>
    <t>2121301</t>
  </si>
  <si>
    <t xml:space="preserve">  城市公共设施</t>
  </si>
  <si>
    <t>2121399</t>
  </si>
  <si>
    <t xml:space="preserve">  其他城市基础设施配套费安排的支出</t>
  </si>
  <si>
    <t>21214</t>
  </si>
  <si>
    <t>污水处理费及对应专项债务收入安排的支出</t>
  </si>
  <si>
    <t>2121499</t>
  </si>
  <si>
    <t xml:space="preserve">  其他污水处理费安排的支出</t>
  </si>
  <si>
    <t>21299</t>
  </si>
  <si>
    <t>其他城乡社区支出</t>
  </si>
  <si>
    <t>2129999</t>
  </si>
  <si>
    <t xml:space="preserve">  其他城乡社区支出</t>
  </si>
  <si>
    <t>213</t>
  </si>
  <si>
    <t>农林水支出</t>
  </si>
  <si>
    <t>21308</t>
  </si>
  <si>
    <t>普惠金融发展支出</t>
  </si>
  <si>
    <t>2130899</t>
  </si>
  <si>
    <t xml:space="preserve">  其他普惠金融发展支出</t>
  </si>
  <si>
    <t>221</t>
  </si>
  <si>
    <t>住房保障支出</t>
  </si>
  <si>
    <t>22101</t>
  </si>
  <si>
    <t>保障性安居工程支出</t>
  </si>
  <si>
    <t>2210103</t>
  </si>
  <si>
    <t xml:space="preserve">  棚户区改造</t>
  </si>
  <si>
    <t>2210106</t>
  </si>
  <si>
    <t xml:space="preserve">  公共租赁住房</t>
  </si>
  <si>
    <t>2210107</t>
  </si>
  <si>
    <t xml:space="preserve">  保障性住房租金补贴</t>
  </si>
  <si>
    <t>22102</t>
  </si>
  <si>
    <t>住房改革支出</t>
  </si>
  <si>
    <t>2210201</t>
  </si>
  <si>
    <t xml:space="preserve">  住房公积金</t>
  </si>
  <si>
    <t>2210203</t>
  </si>
  <si>
    <t xml:space="preserve">  购房补贴</t>
  </si>
  <si>
    <t>22103</t>
  </si>
  <si>
    <t>城乡社区住宅</t>
  </si>
  <si>
    <t>2210301</t>
  </si>
  <si>
    <t xml:space="preserve">  公有住房建设和维修改造支出</t>
  </si>
  <si>
    <t>2210399</t>
  </si>
  <si>
    <t xml:space="preserve">  其他城乡社区住宅支出</t>
  </si>
  <si>
    <t>229</t>
  </si>
  <si>
    <t>其他支出</t>
  </si>
  <si>
    <t>22904</t>
  </si>
  <si>
    <t>其他政府性基金及对应专项债务收入安排的支出</t>
  </si>
  <si>
    <t>2290400</t>
  </si>
  <si>
    <t xml:space="preserve">  其他政府性基金及对应专项债务收入安排的支出</t>
  </si>
  <si>
    <t>22999</t>
  </si>
  <si>
    <t>2299901</t>
  </si>
  <si>
    <t xml:space="preserve">  其他支出</t>
  </si>
  <si>
    <t>注：本表反映部门本年度取得的各项收入情况。</t>
  </si>
  <si>
    <t>表三：支出决算表</t>
  </si>
  <si>
    <t>基本支出</t>
  </si>
  <si>
    <t>项目支出</t>
  </si>
  <si>
    <t>上缴上级支出</t>
  </si>
  <si>
    <t>经营支出</t>
  </si>
  <si>
    <t>对附属单位补助支出</t>
  </si>
  <si>
    <t>201</t>
  </si>
  <si>
    <t>一般公共服务支出</t>
  </si>
  <si>
    <t>20113</t>
  </si>
  <si>
    <t>商贸事务</t>
  </si>
  <si>
    <t>2011308</t>
  </si>
  <si>
    <t xml:space="preserve">  招商引资</t>
  </si>
  <si>
    <t>211</t>
  </si>
  <si>
    <t>节能环保支出</t>
  </si>
  <si>
    <t>21112</t>
  </si>
  <si>
    <t>可再生能源</t>
  </si>
  <si>
    <t>2111201</t>
  </si>
  <si>
    <t xml:space="preserve">  可再生能源</t>
  </si>
  <si>
    <t>2120109</t>
  </si>
  <si>
    <t xml:space="preserve">  住宅建设与房地产市场监管</t>
  </si>
  <si>
    <t>21202</t>
  </si>
  <si>
    <t>城乡社区规划与管理</t>
  </si>
  <si>
    <t>2120201</t>
  </si>
  <si>
    <t xml:space="preserve">  城乡社区规划与管理</t>
  </si>
  <si>
    <t>21205</t>
  </si>
  <si>
    <t>城乡社区环境卫生</t>
  </si>
  <si>
    <t>2120501</t>
  </si>
  <si>
    <t xml:space="preserve">  城乡社区环境卫生</t>
  </si>
  <si>
    <t>215</t>
  </si>
  <si>
    <t>资源勘探信息等支出</t>
  </si>
  <si>
    <t>21502</t>
  </si>
  <si>
    <t>制造业</t>
  </si>
  <si>
    <t>2150299</t>
  </si>
  <si>
    <t xml:space="preserve">  其他制造业支出</t>
  </si>
  <si>
    <t>2210105</t>
  </si>
  <si>
    <t xml:space="preserve">  农村危房改造</t>
  </si>
  <si>
    <t>注：本表反映部门本年度各项支出情况。</t>
  </si>
  <si>
    <t>表四：财政拨款收入支出决算总表</t>
  </si>
  <si>
    <t>收     入</t>
  </si>
  <si>
    <t>支     出</t>
  </si>
  <si>
    <t>项    目</t>
  </si>
  <si>
    <t>行次</t>
  </si>
  <si>
    <t>金额</t>
  </si>
  <si>
    <t>一般公共预算财政拨款</t>
  </si>
  <si>
    <t>政府性基金预算财政拨款</t>
  </si>
  <si>
    <t>栏    次</t>
  </si>
  <si>
    <t>一、一般公共预算财政拨款</t>
  </si>
  <si>
    <t>二、政府性基金预算财政拨款</t>
  </si>
  <si>
    <t>年初财政拨款结转和结余</t>
  </si>
  <si>
    <t>年末财政拨款结转和结余</t>
  </si>
  <si>
    <t xml:space="preserve">    基本支出结转</t>
  </si>
  <si>
    <t xml:space="preserve">    项目支出结转和结余</t>
  </si>
  <si>
    <t>注：本表反映部门本年度一般公共预算财政拨款和政府性基金预算财政拨款的总收支和年末结转结余情况。</t>
  </si>
  <si>
    <t>表五：一般公共预算财政拨款支出决算表</t>
  </si>
  <si>
    <t>注：本表反映部门本年度一般公共预算财政拨款实际支出情况。</t>
  </si>
  <si>
    <t xml:space="preserve">表六：一般公共预算财政拨款基本支出决算表      
</t>
  </si>
  <si>
    <t>人员经费</t>
  </si>
  <si>
    <t>公用经费</t>
  </si>
  <si>
    <t>经济分类科目编码</t>
  </si>
  <si>
    <t>工资福利支出</t>
  </si>
  <si>
    <t>商品和服务支出　</t>
  </si>
  <si>
    <t>　基本工资</t>
  </si>
  <si>
    <t>办公费　</t>
  </si>
  <si>
    <t>　津贴补贴</t>
  </si>
  <si>
    <t>印刷费　</t>
  </si>
  <si>
    <r>
      <rPr>
        <sz val="11"/>
        <color indexed="8"/>
        <rFont val="宋体"/>
        <charset val="134"/>
      </rPr>
      <t xml:space="preserve">  </t>
    </r>
    <r>
      <rPr>
        <sz val="11"/>
        <color indexed="8"/>
        <rFont val="Times New Roman"/>
        <family val="1"/>
      </rPr>
      <t>奖金</t>
    </r>
    <r>
      <rPr>
        <sz val="11"/>
        <color indexed="8"/>
        <rFont val="Times New Roman"/>
        <family val="1"/>
      </rPr>
      <t xml:space="preserve">  </t>
    </r>
    <r>
      <rPr>
        <sz val="11"/>
        <color indexed="8"/>
        <rFont val="Times New Roman"/>
        <family val="1"/>
      </rPr>
      <t>　</t>
    </r>
  </si>
  <si>
    <t>咨询费　</t>
  </si>
  <si>
    <t>　伙食补助费</t>
  </si>
  <si>
    <t>手续费　</t>
  </si>
  <si>
    <t>　绩效工资</t>
  </si>
  <si>
    <t>水费　</t>
  </si>
  <si>
    <t>　机关事业单位基本养老保险缴费</t>
  </si>
  <si>
    <t>电费　</t>
  </si>
  <si>
    <t>　职业年金缴费</t>
  </si>
  <si>
    <t>邮电费　</t>
  </si>
  <si>
    <t>　其他工资福利支出</t>
  </si>
  <si>
    <t>物业管理费　</t>
  </si>
  <si>
    <t>职工基本医疗保险缴费</t>
  </si>
  <si>
    <t>差旅费</t>
  </si>
  <si>
    <t>公务员医疗补助缴费</t>
  </si>
  <si>
    <t>因公出国（境）费用</t>
  </si>
  <si>
    <t>　其他社会保障缴费</t>
  </si>
  <si>
    <t>会议费</t>
  </si>
  <si>
    <t>住房公积金</t>
  </si>
  <si>
    <t>维修（护）费</t>
  </si>
  <si>
    <t>对个人家庭的补助　</t>
  </si>
  <si>
    <t>租赁费</t>
  </si>
  <si>
    <t>退休费</t>
  </si>
  <si>
    <t>培训费</t>
  </si>
  <si>
    <t>抚恤金</t>
  </si>
  <si>
    <t>公务接待费　</t>
  </si>
  <si>
    <t>生活补助</t>
  </si>
  <si>
    <t>专用材料费</t>
  </si>
  <si>
    <t>奖励金</t>
  </si>
  <si>
    <t>劳务费</t>
  </si>
  <si>
    <t>其他对个人和家庭的补助支出</t>
  </si>
  <si>
    <t>委托业务费</t>
  </si>
  <si>
    <t>工会经费</t>
  </si>
  <si>
    <t>福利费</t>
  </si>
  <si>
    <t>公务用车运行维护费</t>
  </si>
  <si>
    <t>其他交通费用</t>
  </si>
  <si>
    <t>税金及附加费用</t>
  </si>
  <si>
    <t>其他商品和服务支出</t>
  </si>
  <si>
    <t>其他资本性支出</t>
  </si>
  <si>
    <t>办公设备购置</t>
  </si>
  <si>
    <t>信息网络及软件购置更新</t>
  </si>
  <si>
    <t>人员经费合计</t>
  </si>
  <si>
    <t>公用经费合计</t>
  </si>
  <si>
    <t>注：本表反映部门本年度一般公共预算财政拨款基本支出明细情况。</t>
  </si>
  <si>
    <t>表七：一般公共预算财政拨款安排的“三公”经费支出决算表</t>
  </si>
  <si>
    <t>2018年度预算数</t>
  </si>
  <si>
    <t>2018年度决算数</t>
  </si>
  <si>
    <t>因公出国</t>
  </si>
  <si>
    <t>公务用车购置及运行费</t>
  </si>
  <si>
    <t>公务接</t>
  </si>
  <si>
    <t>(境）费</t>
  </si>
  <si>
    <t>小计</t>
  </si>
  <si>
    <t>公务用车 购置费</t>
  </si>
  <si>
    <t>公务用车 运行费</t>
  </si>
  <si>
    <t>待费</t>
  </si>
  <si>
    <t>注：本表反映部门本年度“三公”经费支出预决算情况。其中，2018年度预算数为“三公”经费年初预算数，决算数是包括当年一般公共预算财政拨款和以前年度结转资金安排的实际支出。</t>
  </si>
  <si>
    <t>表八：政府性基金预算财政拨款收入支出决算表</t>
  </si>
  <si>
    <t>单元：万元</t>
  </si>
  <si>
    <t>本年收入</t>
  </si>
  <si>
    <t>本年支出</t>
  </si>
  <si>
    <t>年末结转和结余</t>
  </si>
  <si>
    <t>项目支出结转和结余</t>
  </si>
  <si>
    <t>21560</t>
  </si>
  <si>
    <t>散装水泥专项资金及对应专项债务收入安排的支出</t>
  </si>
  <si>
    <t>2156099</t>
  </si>
  <si>
    <t xml:space="preserve">  其他散装水泥专项资金支出</t>
  </si>
  <si>
    <t>注：本表反映部门本年度政府性基金预算财政拨款收入支出及结转和结余情况。</t>
  </si>
  <si>
    <t>二、社会保障和就业支出</t>
    <phoneticPr fontId="15" type="noConversion"/>
  </si>
  <si>
    <t>三、医疗卫生与计划生育支出</t>
    <phoneticPr fontId="15" type="noConversion"/>
  </si>
  <si>
    <t>四、节能环保支出</t>
    <phoneticPr fontId="15" type="noConversion"/>
  </si>
  <si>
    <t>五、城乡社区支出</t>
    <phoneticPr fontId="15" type="noConversion"/>
  </si>
  <si>
    <t>六、农林水支出</t>
    <phoneticPr fontId="15" type="noConversion"/>
  </si>
  <si>
    <t>七、资源勘探信息等支出</t>
    <phoneticPr fontId="15" type="noConversion"/>
  </si>
  <si>
    <t>八、住房保障支出</t>
    <phoneticPr fontId="15" type="noConversion"/>
  </si>
  <si>
    <t>九、其他支出</t>
    <phoneticPr fontId="15" type="noConversion"/>
  </si>
  <si>
    <t>上年结转和结余</t>
    <phoneticPr fontId="15" type="noConversion"/>
  </si>
  <si>
    <t>基本支出结转和结余</t>
    <phoneticPr fontId="15" type="noConversion"/>
  </si>
</sst>
</file>

<file path=xl/styles.xml><?xml version="1.0" encoding="utf-8"?>
<styleSheet xmlns="http://schemas.openxmlformats.org/spreadsheetml/2006/main">
  <numFmts count="2">
    <numFmt numFmtId="176" formatCode="#,##0.00_ "/>
    <numFmt numFmtId="177" formatCode="#,##0.000000_ "/>
  </numFmts>
  <fonts count="16">
    <font>
      <sz val="11"/>
      <color theme="1"/>
      <name val="宋体"/>
      <charset val="134"/>
      <scheme val="minor"/>
    </font>
    <font>
      <sz val="18"/>
      <color indexed="8"/>
      <name val="宋体"/>
      <charset val="134"/>
    </font>
    <font>
      <sz val="12"/>
      <color indexed="8"/>
      <name val="宋体"/>
      <charset val="134"/>
    </font>
    <font>
      <sz val="12"/>
      <color indexed="8"/>
      <name val="Arial"/>
      <family val="2"/>
    </font>
    <font>
      <sz val="11"/>
      <color indexed="8"/>
      <name val="宋体"/>
      <charset val="134"/>
    </font>
    <font>
      <sz val="10.5"/>
      <name val="宋体"/>
      <charset val="134"/>
    </font>
    <font>
      <sz val="10"/>
      <color indexed="8"/>
      <name val="Arial"/>
      <family val="2"/>
    </font>
    <font>
      <sz val="18"/>
      <name val="方正小标宋简体"/>
      <family val="4"/>
      <charset val="134"/>
    </font>
    <font>
      <sz val="12"/>
      <name val="宋体"/>
      <charset val="134"/>
    </font>
    <font>
      <sz val="11"/>
      <name val="宋体"/>
      <charset val="134"/>
    </font>
    <font>
      <sz val="11"/>
      <color indexed="8"/>
      <name val="宋体"/>
      <charset val="134"/>
    </font>
    <font>
      <sz val="11"/>
      <color indexed="8"/>
      <name val="Times New Roman"/>
      <family val="1"/>
    </font>
    <font>
      <sz val="18"/>
      <color indexed="8"/>
      <name val="宋体"/>
      <charset val="134"/>
    </font>
    <font>
      <sz val="12"/>
      <color indexed="8"/>
      <name val="宋体"/>
      <charset val="134"/>
    </font>
    <font>
      <sz val="20"/>
      <color indexed="8"/>
      <name val="宋体"/>
      <charset val="134"/>
    </font>
    <font>
      <sz val="9"/>
      <name val="宋体"/>
      <charset val="13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alignment vertical="center"/>
    </xf>
    <xf numFmtId="0" fontId="6" fillId="0" borderId="0"/>
    <xf numFmtId="0" fontId="6" fillId="0" borderId="0"/>
    <xf numFmtId="0" fontId="6" fillId="0" borderId="0"/>
    <xf numFmtId="0" fontId="6" fillId="0" borderId="0"/>
    <xf numFmtId="0" fontId="8" fillId="0" borderId="0">
      <alignment vertical="center"/>
    </xf>
  </cellStyleXfs>
  <cellXfs count="124">
    <xf numFmtId="0" fontId="0" fillId="0" borderId="0" xfId="0">
      <alignment vertical="center"/>
    </xf>
    <xf numFmtId="0" fontId="0" fillId="0" borderId="0" xfId="0" applyAlignment="1">
      <alignment horizontal="center" vertical="center"/>
    </xf>
    <xf numFmtId="0" fontId="0" fillId="0" borderId="0" xfId="0" applyFill="1">
      <alignment vertical="center"/>
    </xf>
    <xf numFmtId="4" fontId="4" fillId="0" borderId="1" xfId="1" applyNumberFormat="1" applyFont="1" applyBorder="1" applyAlignment="1">
      <alignment horizontal="center" vertical="center" wrapText="1" shrinkToFit="1"/>
    </xf>
    <xf numFmtId="0" fontId="4" fillId="0" borderId="1" xfId="1" applyNumberFormat="1" applyFont="1" applyBorder="1" applyAlignment="1">
      <alignment horizontal="right" vertical="center" wrapText="1" shrinkToFit="1"/>
    </xf>
    <xf numFmtId="4" fontId="4" fillId="0" borderId="1" xfId="1" applyNumberFormat="1" applyFont="1" applyBorder="1" applyAlignment="1">
      <alignment horizontal="right" vertical="center" wrapText="1" shrinkToFit="1"/>
    </xf>
    <xf numFmtId="0" fontId="4" fillId="0" borderId="1" xfId="1" applyFont="1" applyBorder="1" applyAlignment="1">
      <alignment horizontal="left" vertical="center" wrapText="1" shrinkToFit="1"/>
    </xf>
    <xf numFmtId="0" fontId="4" fillId="0" borderId="1" xfId="1" applyFont="1" applyFill="1" applyBorder="1" applyAlignment="1">
      <alignment horizontal="left" vertical="center" wrapText="1" shrinkToFit="1"/>
    </xf>
    <xf numFmtId="4" fontId="4" fillId="0" borderId="1" xfId="1" applyNumberFormat="1" applyFont="1" applyFill="1" applyBorder="1" applyAlignment="1">
      <alignment horizontal="right" vertical="center" wrapText="1" shrinkToFit="1"/>
    </xf>
    <xf numFmtId="0" fontId="5" fillId="0" borderId="0" xfId="5" applyFont="1" applyAlignment="1">
      <alignment horizontal="left" vertical="center"/>
    </xf>
    <xf numFmtId="0" fontId="6" fillId="0" borderId="0" xfId="1"/>
    <xf numFmtId="0" fontId="2" fillId="0" borderId="0" xfId="1" applyFont="1" applyAlignment="1">
      <alignment horizontal="center"/>
    </xf>
    <xf numFmtId="177" fontId="0" fillId="0" borderId="0" xfId="0" applyNumberFormat="1">
      <alignment vertical="center"/>
    </xf>
    <xf numFmtId="177" fontId="0" fillId="0" borderId="0" xfId="0" applyNumberFormat="1" applyFill="1">
      <alignment vertical="center"/>
    </xf>
    <xf numFmtId="0" fontId="9" fillId="0" borderId="1" xfId="5" applyFont="1" applyBorder="1" applyAlignment="1">
      <alignment horizontal="center"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10" fillId="0" borderId="1" xfId="5" applyFont="1" applyBorder="1" applyAlignment="1">
      <alignment horizontal="center" vertical="top" wrapText="1"/>
    </xf>
    <xf numFmtId="0" fontId="10" fillId="0" borderId="5" xfId="5" applyFont="1" applyBorder="1" applyAlignment="1">
      <alignment horizontal="center" vertical="top" wrapText="1"/>
    </xf>
    <xf numFmtId="0" fontId="11" fillId="0" borderId="1" xfId="5" applyFont="1" applyBorder="1" applyAlignment="1">
      <alignment horizontal="center" vertical="center" wrapText="1"/>
    </xf>
    <xf numFmtId="176" fontId="11" fillId="0" borderId="1" xfId="5" applyNumberFormat="1" applyFont="1" applyBorder="1" applyAlignment="1">
      <alignment horizontal="center" vertical="center" wrapText="1"/>
    </xf>
    <xf numFmtId="176" fontId="11" fillId="0" borderId="0" xfId="5" applyNumberFormat="1" applyFont="1" applyBorder="1" applyAlignment="1">
      <alignment horizontal="center" vertical="center" wrapText="1"/>
    </xf>
    <xf numFmtId="0" fontId="0" fillId="0" borderId="0" xfId="0" applyNumberFormat="1">
      <alignment vertical="center"/>
    </xf>
    <xf numFmtId="0" fontId="0" fillId="0" borderId="0" xfId="0" applyAlignment="1">
      <alignment vertical="center" wrapText="1"/>
    </xf>
    <xf numFmtId="0" fontId="4" fillId="0" borderId="1" xfId="1" applyNumberFormat="1" applyFont="1" applyBorder="1" applyAlignment="1">
      <alignment horizontal="center" vertical="center" wrapText="1" shrinkToFit="1"/>
    </xf>
    <xf numFmtId="0" fontId="4" fillId="0" borderId="1" xfId="1" applyNumberFormat="1" applyFont="1" applyBorder="1" applyAlignment="1">
      <alignment horizontal="left" vertical="center" wrapText="1" shrinkToFit="1"/>
    </xf>
    <xf numFmtId="4" fontId="4" fillId="0" borderId="1" xfId="1" applyNumberFormat="1" applyFont="1" applyBorder="1" applyAlignment="1">
      <alignment horizontal="left" vertical="center" wrapText="1" shrinkToFit="1"/>
    </xf>
    <xf numFmtId="0" fontId="4" fillId="0" borderId="1" xfId="1" applyNumberFormat="1" applyFont="1" applyFill="1" applyBorder="1" applyAlignment="1">
      <alignment horizontal="left" vertical="center" wrapText="1" shrinkToFit="1"/>
    </xf>
    <xf numFmtId="4" fontId="4" fillId="0" borderId="1" xfId="1" applyNumberFormat="1" applyFont="1" applyFill="1" applyBorder="1" applyAlignment="1">
      <alignment horizontal="left" vertical="center" wrapText="1" shrinkToFit="1"/>
    </xf>
    <xf numFmtId="0" fontId="5" fillId="0" borderId="0" xfId="5" applyFont="1" applyAlignment="1">
      <alignment horizontal="left" vertical="center" wrapText="1"/>
    </xf>
    <xf numFmtId="10" fontId="0" fillId="0" borderId="0" xfId="0" applyNumberFormat="1">
      <alignment vertical="center"/>
    </xf>
    <xf numFmtId="0" fontId="4" fillId="0" borderId="1" xfId="4" applyNumberFormat="1" applyFont="1" applyBorder="1" applyAlignment="1">
      <alignment horizontal="center" vertical="center" shrinkToFit="1"/>
    </xf>
    <xf numFmtId="4" fontId="4" fillId="0" borderId="1" xfId="4" applyNumberFormat="1" applyFont="1" applyBorder="1" applyAlignment="1">
      <alignment horizontal="right" vertical="center" shrinkToFit="1"/>
    </xf>
    <xf numFmtId="0" fontId="4" fillId="0" borderId="1" xfId="4" applyFont="1" applyFill="1" applyBorder="1" applyAlignment="1">
      <alignment horizontal="left" vertical="center" shrinkToFit="1"/>
    </xf>
    <xf numFmtId="4" fontId="4" fillId="0" borderId="1" xfId="4" applyNumberFormat="1" applyFont="1" applyFill="1" applyBorder="1" applyAlignment="1">
      <alignment horizontal="right" vertical="center" shrinkToFit="1"/>
    </xf>
    <xf numFmtId="10" fontId="0" fillId="0" borderId="0" xfId="0" applyNumberFormat="1" applyFill="1">
      <alignment vertical="center"/>
    </xf>
    <xf numFmtId="0" fontId="4" fillId="0" borderId="6" xfId="4" applyFont="1" applyFill="1" applyBorder="1" applyAlignment="1">
      <alignment horizontal="left" vertical="center" shrinkToFit="1"/>
    </xf>
    <xf numFmtId="0" fontId="4" fillId="0" borderId="7" xfId="4" applyFont="1" applyFill="1" applyBorder="1" applyAlignment="1">
      <alignment horizontal="left" vertical="center" shrinkToFit="1"/>
    </xf>
    <xf numFmtId="4" fontId="4" fillId="0" borderId="7" xfId="4" applyNumberFormat="1" applyFont="1" applyFill="1" applyBorder="1" applyAlignment="1">
      <alignment horizontal="right" vertical="center" shrinkToFit="1"/>
    </xf>
    <xf numFmtId="0" fontId="4" fillId="0" borderId="8" xfId="4" applyFont="1" applyFill="1" applyBorder="1" applyAlignment="1">
      <alignment horizontal="left" vertical="center" shrinkToFit="1"/>
    </xf>
    <xf numFmtId="0" fontId="4" fillId="0" borderId="9" xfId="4" applyFont="1" applyFill="1" applyBorder="1" applyAlignment="1">
      <alignment horizontal="left" vertical="center" shrinkToFit="1"/>
    </xf>
    <xf numFmtId="4" fontId="4" fillId="0" borderId="9" xfId="4" applyNumberFormat="1" applyFont="1" applyFill="1" applyBorder="1" applyAlignment="1">
      <alignment horizontal="right" vertical="center" shrinkToFit="1"/>
    </xf>
    <xf numFmtId="0" fontId="6" fillId="0" borderId="0" xfId="4"/>
    <xf numFmtId="0" fontId="2" fillId="0" borderId="0" xfId="4" applyFont="1" applyAlignment="1">
      <alignment horizontal="center"/>
    </xf>
    <xf numFmtId="0" fontId="6" fillId="0" borderId="0" xfId="3"/>
    <xf numFmtId="176" fontId="0" fillId="0" borderId="0" xfId="0" applyNumberFormat="1">
      <alignment vertical="center"/>
    </xf>
    <xf numFmtId="176" fontId="0" fillId="0" borderId="0" xfId="0" applyNumberFormat="1" applyAlignment="1">
      <alignment vertical="center" wrapText="1"/>
    </xf>
    <xf numFmtId="0" fontId="4" fillId="0" borderId="7" xfId="2" applyFont="1" applyBorder="1" applyAlignment="1">
      <alignment horizontal="center" vertical="center" wrapText="1" shrinkToFit="1"/>
    </xf>
    <xf numFmtId="0" fontId="4" fillId="0" borderId="7" xfId="2" applyFont="1" applyBorder="1" applyAlignment="1">
      <alignment horizontal="right" vertical="center" shrinkToFit="1"/>
    </xf>
    <xf numFmtId="0" fontId="4" fillId="0" borderId="7" xfId="2" applyFont="1" applyBorder="1" applyAlignment="1">
      <alignment horizontal="center" vertical="center" shrinkToFit="1"/>
    </xf>
    <xf numFmtId="0" fontId="4" fillId="0" borderId="7" xfId="2" applyNumberFormat="1" applyFont="1" applyBorder="1" applyAlignment="1">
      <alignment horizontal="center" vertical="center" shrinkToFit="1"/>
    </xf>
    <xf numFmtId="0" fontId="4" fillId="0" borderId="7" xfId="2" applyNumberFormat="1" applyFont="1" applyBorder="1" applyAlignment="1">
      <alignment horizontal="center" vertical="center" wrapText="1" shrinkToFit="1"/>
    </xf>
    <xf numFmtId="0" fontId="4" fillId="0" borderId="7" xfId="2" applyFont="1" applyBorder="1" applyAlignment="1">
      <alignment horizontal="left" vertical="center" wrapText="1" shrinkToFit="1"/>
    </xf>
    <xf numFmtId="176" fontId="4" fillId="0" borderId="7" xfId="2" applyNumberFormat="1" applyFont="1" applyBorder="1" applyAlignment="1">
      <alignment horizontal="right" vertical="center" shrinkToFit="1"/>
    </xf>
    <xf numFmtId="176" fontId="4" fillId="0" borderId="7" xfId="2" applyNumberFormat="1" applyFont="1" applyBorder="1" applyAlignment="1">
      <alignment horizontal="right" vertical="center" wrapText="1" shrinkToFit="1"/>
    </xf>
    <xf numFmtId="0" fontId="4" fillId="0" borderId="7" xfId="2" applyFont="1" applyBorder="1" applyAlignment="1">
      <alignment horizontal="right" vertical="center" wrapText="1" shrinkToFit="1"/>
    </xf>
    <xf numFmtId="0" fontId="6" fillId="0" borderId="0" xfId="2" applyAlignment="1">
      <alignment wrapText="1"/>
    </xf>
    <xf numFmtId="0" fontId="6" fillId="0" borderId="0" xfId="2"/>
    <xf numFmtId="0" fontId="6" fillId="0" borderId="0" xfId="2" applyAlignment="1">
      <alignment horizontal="center"/>
    </xf>
    <xf numFmtId="176" fontId="2" fillId="0" borderId="0" xfId="2" applyNumberFormat="1" applyFont="1" applyAlignment="1">
      <alignment horizontal="center"/>
    </xf>
    <xf numFmtId="176" fontId="6" fillId="0" borderId="0" xfId="2" applyNumberFormat="1" applyAlignment="1">
      <alignment wrapText="1"/>
    </xf>
    <xf numFmtId="0" fontId="2" fillId="0" borderId="0" xfId="1" applyFont="1"/>
    <xf numFmtId="0" fontId="6" fillId="0" borderId="0" xfId="1" applyAlignment="1">
      <alignment wrapText="1"/>
    </xf>
    <xf numFmtId="0" fontId="2" fillId="0" borderId="0" xfId="1" applyFont="1" applyAlignment="1">
      <alignment horizontal="right"/>
    </xf>
    <xf numFmtId="0" fontId="4" fillId="0" borderId="1" xfId="1" applyFont="1" applyBorder="1" applyAlignment="1">
      <alignment horizontal="left" vertical="center" shrinkToFit="1"/>
    </xf>
    <xf numFmtId="0" fontId="4" fillId="0" borderId="1" xfId="1" applyNumberFormat="1" applyFont="1" applyBorder="1" applyAlignment="1">
      <alignment horizontal="center" vertical="center" shrinkToFit="1"/>
    </xf>
    <xf numFmtId="4" fontId="4" fillId="0" borderId="1" xfId="1" applyNumberFormat="1" applyFont="1" applyBorder="1" applyAlignment="1">
      <alignment horizontal="right" vertical="center" shrinkToFit="1"/>
    </xf>
    <xf numFmtId="0" fontId="14" fillId="0" borderId="0" xfId="0" applyFont="1" applyAlignment="1">
      <alignment horizontal="center" vertical="center"/>
    </xf>
    <xf numFmtId="0" fontId="14" fillId="0" borderId="0" xfId="0" applyFont="1" applyAlignment="1">
      <alignment horizontal="center" vertical="center" wrapText="1"/>
    </xf>
    <xf numFmtId="176" fontId="14" fillId="0" borderId="0" xfId="0" applyNumberFormat="1" applyFont="1" applyAlignment="1">
      <alignment horizontal="center" vertical="center"/>
    </xf>
    <xf numFmtId="176"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xf>
    <xf numFmtId="176" fontId="0" fillId="0" borderId="1" xfId="0" applyNumberFormat="1" applyBorder="1">
      <alignment vertical="center"/>
    </xf>
    <xf numFmtId="0" fontId="0" fillId="0" borderId="1" xfId="0" applyBorder="1">
      <alignment vertical="center"/>
    </xf>
    <xf numFmtId="0" fontId="0" fillId="0" borderId="1" xfId="0" applyBorder="1" applyAlignment="1">
      <alignment vertical="center" wrapText="1"/>
    </xf>
    <xf numFmtId="176" fontId="0" fillId="0" borderId="0" xfId="0" applyNumberFormat="1" applyFont="1" applyAlignment="1">
      <alignment horizontal="center" vertical="center"/>
    </xf>
    <xf numFmtId="0" fontId="0" fillId="0" borderId="0" xfId="0" applyFont="1">
      <alignment vertical="center"/>
    </xf>
    <xf numFmtId="0" fontId="13" fillId="0" borderId="0" xfId="0" applyFont="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left" vertical="center" wrapText="1"/>
    </xf>
    <xf numFmtId="0" fontId="0" fillId="0" borderId="10" xfId="0" applyBorder="1" applyAlignment="1">
      <alignment horizontal="left" vertical="center"/>
    </xf>
    <xf numFmtId="0" fontId="12" fillId="0" borderId="0" xfId="0" applyFont="1" applyAlignment="1">
      <alignment horizontal="center" vertical="center"/>
    </xf>
    <xf numFmtId="0" fontId="5" fillId="0" borderId="0" xfId="5" applyFont="1" applyAlignment="1">
      <alignment horizontal="left" vertical="center"/>
    </xf>
    <xf numFmtId="0" fontId="4" fillId="0" borderId="1" xfId="1" applyFont="1" applyBorder="1" applyAlignment="1">
      <alignment horizontal="center" vertical="center" wrapText="1" shrinkToFit="1"/>
    </xf>
    <xf numFmtId="0" fontId="1" fillId="0" borderId="0" xfId="1" applyFont="1" applyAlignment="1">
      <alignment horizontal="center" vertical="center"/>
    </xf>
    <xf numFmtId="0" fontId="4" fillId="0" borderId="1" xfId="1" applyFont="1" applyBorder="1" applyAlignment="1">
      <alignment horizontal="center" vertical="center" shrinkToFit="1"/>
    </xf>
    <xf numFmtId="0" fontId="4" fillId="0" borderId="1" xfId="2" applyFont="1" applyBorder="1" applyAlignment="1">
      <alignment horizontal="center" vertical="center" wrapText="1"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5" xfId="2" applyFont="1" applyBorder="1" applyAlignment="1">
      <alignment horizontal="center" vertical="center" shrinkToFit="1"/>
    </xf>
    <xf numFmtId="0" fontId="4" fillId="0" borderId="2" xfId="2" applyFont="1" applyBorder="1" applyAlignment="1">
      <alignment horizontal="center" vertical="center" wrapText="1" shrinkToFit="1"/>
    </xf>
    <xf numFmtId="0" fontId="4" fillId="0" borderId="5" xfId="2" applyFont="1" applyBorder="1" applyAlignment="1">
      <alignment horizontal="center" vertical="center" wrapText="1" shrinkToFit="1"/>
    </xf>
    <xf numFmtId="176" fontId="4" fillId="0" borderId="2" xfId="2" applyNumberFormat="1" applyFont="1" applyBorder="1" applyAlignment="1">
      <alignment horizontal="center" vertical="center" shrinkToFit="1"/>
    </xf>
    <xf numFmtId="176" fontId="4" fillId="0" borderId="5" xfId="2" applyNumberFormat="1" applyFont="1" applyBorder="1" applyAlignment="1">
      <alignment horizontal="center" vertical="center" shrinkToFit="1"/>
    </xf>
    <xf numFmtId="176" fontId="4" fillId="0" borderId="2" xfId="2" applyNumberFormat="1" applyFont="1" applyBorder="1" applyAlignment="1">
      <alignment horizontal="center" vertical="center" wrapText="1" shrinkToFit="1"/>
    </xf>
    <xf numFmtId="176" fontId="4" fillId="0" borderId="5" xfId="2" applyNumberFormat="1" applyFont="1" applyBorder="1" applyAlignment="1">
      <alignment horizontal="center" vertical="center" wrapText="1" shrinkToFit="1"/>
    </xf>
    <xf numFmtId="0" fontId="1" fillId="0" borderId="0" xfId="2" applyFont="1" applyAlignment="1">
      <alignment horizontal="center" vertical="center"/>
    </xf>
    <xf numFmtId="176" fontId="2" fillId="0" borderId="11" xfId="2" applyNumberFormat="1" applyFont="1" applyBorder="1" applyAlignment="1">
      <alignment horizontal="right" wrapText="1"/>
    </xf>
    <xf numFmtId="0" fontId="4" fillId="0" borderId="1" xfId="4" applyFont="1" applyBorder="1" applyAlignment="1">
      <alignment horizontal="center" vertical="center" shrinkToFit="1"/>
    </xf>
    <xf numFmtId="0" fontId="2" fillId="0" borderId="0" xfId="4" applyFont="1" applyBorder="1" applyAlignment="1">
      <alignment horizontal="right"/>
    </xf>
    <xf numFmtId="0" fontId="3" fillId="0" borderId="0" xfId="4" applyFont="1" applyBorder="1" applyAlignment="1">
      <alignment horizontal="right"/>
    </xf>
    <xf numFmtId="0" fontId="12" fillId="0" borderId="0" xfId="0" applyNumberFormat="1" applyFont="1" applyAlignment="1">
      <alignment horizontal="center" vertical="center" wrapText="1"/>
    </xf>
    <xf numFmtId="0" fontId="13" fillId="0" borderId="11" xfId="0" applyFont="1" applyBorder="1" applyAlignment="1">
      <alignment horizontal="right" vertical="center"/>
    </xf>
    <xf numFmtId="0" fontId="4" fillId="0" borderId="3" xfId="1" applyNumberFormat="1" applyFont="1" applyBorder="1" applyAlignment="1">
      <alignment horizontal="center" vertical="center" wrapText="1" shrinkToFit="1"/>
    </xf>
    <xf numFmtId="0" fontId="4" fillId="0" borderId="12" xfId="1" applyNumberFormat="1" applyFont="1" applyBorder="1" applyAlignment="1">
      <alignment horizontal="center" vertical="center" wrapText="1" shrinkToFit="1"/>
    </xf>
    <xf numFmtId="0" fontId="4" fillId="0" borderId="4" xfId="1" applyNumberFormat="1" applyFont="1" applyBorder="1" applyAlignment="1">
      <alignment horizontal="center" vertical="center" wrapText="1" shrinkToFit="1"/>
    </xf>
    <xf numFmtId="0" fontId="5" fillId="0" borderId="10" xfId="5" applyNumberFormat="1" applyFont="1" applyBorder="1" applyAlignment="1">
      <alignment horizontal="left" vertical="center" wrapText="1"/>
    </xf>
    <xf numFmtId="0" fontId="9" fillId="0" borderId="3" xfId="5" applyFont="1" applyBorder="1" applyAlignment="1">
      <alignment horizontal="center" vertical="center" wrapText="1"/>
    </xf>
    <xf numFmtId="0" fontId="9" fillId="0" borderId="12" xfId="5" applyFont="1" applyBorder="1" applyAlignment="1">
      <alignment horizontal="center" vertical="center" wrapText="1"/>
    </xf>
    <xf numFmtId="0" fontId="7" fillId="0" borderId="0" xfId="5" applyFont="1" applyAlignment="1">
      <alignment horizontal="center" vertical="center"/>
    </xf>
    <xf numFmtId="0" fontId="8" fillId="0" borderId="0" xfId="5" applyFont="1" applyAlignment="1">
      <alignment horizontal="right" vertical="center"/>
    </xf>
    <xf numFmtId="0" fontId="9" fillId="0" borderId="1" xfId="5" applyFont="1" applyBorder="1" applyAlignment="1">
      <alignment horizontal="center" vertical="center" wrapText="1"/>
    </xf>
    <xf numFmtId="0" fontId="9" fillId="0" borderId="2" xfId="5" applyFont="1" applyBorder="1" applyAlignment="1">
      <alignment horizontal="center" vertical="center" wrapText="1"/>
    </xf>
    <xf numFmtId="0" fontId="9" fillId="0" borderId="4" xfId="5" applyFont="1" applyBorder="1" applyAlignment="1">
      <alignment horizontal="center" vertical="center" wrapText="1"/>
    </xf>
    <xf numFmtId="4" fontId="4" fillId="0" borderId="1" xfId="1" applyNumberFormat="1" applyFont="1" applyBorder="1" applyAlignment="1">
      <alignment horizontal="center" vertical="center" wrapText="1" shrinkToFit="1"/>
    </xf>
    <xf numFmtId="0" fontId="2" fillId="0" borderId="11" xfId="1" applyFont="1" applyBorder="1" applyAlignment="1">
      <alignment horizontal="right"/>
    </xf>
    <xf numFmtId="0" fontId="3" fillId="0" borderId="11" xfId="1" applyFont="1" applyBorder="1" applyAlignment="1">
      <alignment horizontal="right"/>
    </xf>
    <xf numFmtId="4" fontId="4" fillId="0" borderId="2" xfId="1" applyNumberFormat="1" applyFont="1" applyBorder="1" applyAlignment="1">
      <alignment horizontal="center" vertical="center" wrapText="1" shrinkToFit="1"/>
    </xf>
    <xf numFmtId="4" fontId="4" fillId="0" borderId="5" xfId="1" applyNumberFormat="1" applyFont="1" applyBorder="1" applyAlignment="1">
      <alignment horizontal="center" vertical="center" wrapText="1" shrinkToFit="1"/>
    </xf>
  </cellXfs>
  <cellStyles count="6">
    <cellStyle name="常规" xfId="0" builtinId="0"/>
    <cellStyle name="常规 2" xfId="1"/>
    <cellStyle name="常规 3" xfId="2"/>
    <cellStyle name="常规 4" xfId="3"/>
    <cellStyle name="常规 5" xfId="4"/>
    <cellStyle name="常规 6" xfId="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28"/>
  <sheetViews>
    <sheetView workbookViewId="0">
      <selection sqref="A1:D2"/>
    </sheetView>
  </sheetViews>
  <sheetFormatPr defaultColWidth="9" defaultRowHeight="13.5"/>
  <cols>
    <col min="1" max="1" width="27.625" customWidth="1"/>
    <col min="2" max="2" width="17.25" customWidth="1"/>
    <col min="3" max="3" width="26.375" customWidth="1"/>
    <col min="4" max="4" width="19.375" customWidth="1"/>
  </cols>
  <sheetData>
    <row r="1" spans="1:4" ht="13.5" customHeight="1">
      <c r="A1" s="86" t="s">
        <v>0</v>
      </c>
      <c r="B1" s="86"/>
      <c r="C1" s="86"/>
      <c r="D1" s="86"/>
    </row>
    <row r="2" spans="1:4" ht="25.5" customHeight="1">
      <c r="A2" s="86"/>
      <c r="B2" s="86"/>
      <c r="C2" s="86"/>
      <c r="D2" s="86"/>
    </row>
    <row r="3" spans="1:4" ht="14.25">
      <c r="A3" s="80"/>
      <c r="B3" s="80"/>
      <c r="C3" s="80"/>
      <c r="D3" s="81" t="s">
        <v>1</v>
      </c>
    </row>
    <row r="4" spans="1:4">
      <c r="A4" s="82" t="s">
        <v>2</v>
      </c>
      <c r="B4" s="83"/>
      <c r="C4" s="82" t="s">
        <v>3</v>
      </c>
      <c r="D4" s="83"/>
    </row>
    <row r="5" spans="1:4">
      <c r="A5" s="73" t="s">
        <v>4</v>
      </c>
      <c r="B5" s="73" t="s">
        <v>5</v>
      </c>
      <c r="C5" s="73" t="s">
        <v>4</v>
      </c>
      <c r="D5" s="73" t="s">
        <v>5</v>
      </c>
    </row>
    <row r="6" spans="1:4">
      <c r="A6" s="77" t="s">
        <v>6</v>
      </c>
      <c r="B6" s="76">
        <f>518008099.93/10000</f>
        <v>51800.809993000003</v>
      </c>
      <c r="C6" s="77" t="s">
        <v>7</v>
      </c>
      <c r="D6" s="76">
        <f>78403/10000</f>
        <v>7.8403</v>
      </c>
    </row>
    <row r="7" spans="1:4">
      <c r="A7" s="77" t="s">
        <v>8</v>
      </c>
      <c r="B7" s="76">
        <f>2165500/10000</f>
        <v>216.55</v>
      </c>
      <c r="C7" s="77" t="s">
        <v>9</v>
      </c>
      <c r="D7" s="76">
        <f>10770419.37/10000</f>
        <v>1077.041937</v>
      </c>
    </row>
    <row r="8" spans="1:4">
      <c r="A8" s="77" t="s">
        <v>10</v>
      </c>
      <c r="B8" s="76">
        <f>18774325.83/10000</f>
        <v>1877.4325829999998</v>
      </c>
      <c r="C8" s="77" t="s">
        <v>11</v>
      </c>
      <c r="D8" s="76">
        <f>2725151.25/10000</f>
        <v>272.51512500000001</v>
      </c>
    </row>
    <row r="9" spans="1:4">
      <c r="A9" s="77" t="s">
        <v>12</v>
      </c>
      <c r="B9" s="76" t="s">
        <v>12</v>
      </c>
      <c r="C9" s="77" t="s">
        <v>13</v>
      </c>
      <c r="D9" s="76">
        <f>1020000/10000</f>
        <v>102</v>
      </c>
    </row>
    <row r="10" spans="1:4">
      <c r="A10" s="77" t="s">
        <v>12</v>
      </c>
      <c r="B10" s="76" t="s">
        <v>12</v>
      </c>
      <c r="C10" s="77" t="s">
        <v>14</v>
      </c>
      <c r="D10" s="76">
        <f>395104451.37/10000</f>
        <v>39510.445137000002</v>
      </c>
    </row>
    <row r="11" spans="1:4">
      <c r="A11" s="77" t="s">
        <v>12</v>
      </c>
      <c r="B11" s="76" t="s">
        <v>12</v>
      </c>
      <c r="C11" s="77" t="s">
        <v>15</v>
      </c>
      <c r="D11" s="76">
        <f>11100000/10000</f>
        <v>1110</v>
      </c>
    </row>
    <row r="12" spans="1:4">
      <c r="A12" s="77" t="s">
        <v>12</v>
      </c>
      <c r="B12" s="76" t="s">
        <v>12</v>
      </c>
      <c r="C12" s="77" t="s">
        <v>16</v>
      </c>
      <c r="D12" s="76">
        <f>3250000/10000</f>
        <v>325</v>
      </c>
    </row>
    <row r="13" spans="1:4">
      <c r="A13" s="77"/>
      <c r="B13" s="76"/>
      <c r="C13" s="77" t="s">
        <v>17</v>
      </c>
      <c r="D13" s="76">
        <f>242892458.63/10000</f>
        <v>24289.245863</v>
      </c>
    </row>
    <row r="14" spans="1:4">
      <c r="A14" s="77" t="s">
        <v>12</v>
      </c>
      <c r="B14" s="76" t="s">
        <v>12</v>
      </c>
      <c r="C14" s="77" t="s">
        <v>18</v>
      </c>
      <c r="D14" s="76">
        <f>1514957.3/10000</f>
        <v>151.49573000000001</v>
      </c>
    </row>
    <row r="15" spans="1:4">
      <c r="A15" s="77" t="s">
        <v>12</v>
      </c>
      <c r="B15" s="76" t="s">
        <v>12</v>
      </c>
      <c r="C15" s="77"/>
      <c r="D15" s="76" t="s">
        <v>12</v>
      </c>
    </row>
    <row r="16" spans="1:4">
      <c r="A16" s="77" t="s">
        <v>12</v>
      </c>
      <c r="B16" s="76" t="s">
        <v>12</v>
      </c>
      <c r="C16" s="77"/>
      <c r="D16" s="76" t="s">
        <v>12</v>
      </c>
    </row>
    <row r="17" spans="1:4">
      <c r="A17" s="77" t="s">
        <v>12</v>
      </c>
      <c r="B17" s="76" t="s">
        <v>12</v>
      </c>
      <c r="C17" s="77"/>
      <c r="D17" s="76" t="s">
        <v>12</v>
      </c>
    </row>
    <row r="18" spans="1:4">
      <c r="A18" s="77" t="s">
        <v>19</v>
      </c>
      <c r="B18" s="76">
        <f>538947925.76/10000</f>
        <v>53894.792576</v>
      </c>
      <c r="C18" s="77" t="s">
        <v>20</v>
      </c>
      <c r="D18" s="76">
        <f>668455840.92/10000</f>
        <v>66845.58409199999</v>
      </c>
    </row>
    <row r="19" spans="1:4">
      <c r="A19" s="77" t="s">
        <v>21</v>
      </c>
      <c r="B19" s="76">
        <f>45319.94/10000</f>
        <v>4.5319940000000001</v>
      </c>
      <c r="C19" s="77" t="s">
        <v>22</v>
      </c>
      <c r="D19" s="76">
        <f>2424278.57/10000</f>
        <v>242.42785699999999</v>
      </c>
    </row>
    <row r="20" spans="1:4">
      <c r="A20" s="77" t="s">
        <v>23</v>
      </c>
      <c r="B20" s="76">
        <f>230726372.72/10000</f>
        <v>23072.637272</v>
      </c>
      <c r="C20" s="77" t="s">
        <v>24</v>
      </c>
      <c r="D20" s="76">
        <f>98839498.93/10000</f>
        <v>9883.9498930000009</v>
      </c>
    </row>
    <row r="21" spans="1:4">
      <c r="A21" s="77" t="s">
        <v>12</v>
      </c>
      <c r="B21" s="76" t="s">
        <v>12</v>
      </c>
      <c r="C21" s="77"/>
      <c r="D21" s="76"/>
    </row>
    <row r="22" spans="1:4">
      <c r="A22" s="77" t="s">
        <v>12</v>
      </c>
      <c r="B22" s="76" t="s">
        <v>12</v>
      </c>
      <c r="C22" s="77"/>
      <c r="D22" s="76"/>
    </row>
    <row r="23" spans="1:4">
      <c r="A23" s="77" t="s">
        <v>12</v>
      </c>
      <c r="B23" s="76" t="s">
        <v>12</v>
      </c>
      <c r="C23" s="77"/>
      <c r="D23" s="76"/>
    </row>
    <row r="24" spans="1:4">
      <c r="A24" s="77" t="s">
        <v>12</v>
      </c>
      <c r="B24" s="76" t="s">
        <v>12</v>
      </c>
      <c r="C24" s="77"/>
      <c r="D24" s="76"/>
    </row>
    <row r="25" spans="1:4">
      <c r="A25" s="77" t="s">
        <v>12</v>
      </c>
      <c r="B25" s="76" t="s">
        <v>12</v>
      </c>
      <c r="C25" s="77"/>
      <c r="D25" s="76"/>
    </row>
    <row r="26" spans="1:4">
      <c r="A26" s="77" t="s">
        <v>12</v>
      </c>
      <c r="B26" s="76" t="s">
        <v>12</v>
      </c>
      <c r="C26" s="77" t="s">
        <v>12</v>
      </c>
      <c r="D26" s="76" t="s">
        <v>12</v>
      </c>
    </row>
    <row r="27" spans="1:4">
      <c r="A27" s="77" t="s">
        <v>25</v>
      </c>
      <c r="B27" s="76">
        <f>769719618.42/10000</f>
        <v>76971.96184199999</v>
      </c>
      <c r="C27" s="77" t="s">
        <v>25</v>
      </c>
      <c r="D27" s="76">
        <f>769719618.42/10000</f>
        <v>76971.96184199999</v>
      </c>
    </row>
    <row r="28" spans="1:4">
      <c r="A28" s="84" t="s">
        <v>26</v>
      </c>
      <c r="B28" s="85"/>
      <c r="C28" s="85"/>
      <c r="D28" s="85"/>
    </row>
  </sheetData>
  <mergeCells count="4">
    <mergeCell ref="A4:B4"/>
    <mergeCell ref="C4:D4"/>
    <mergeCell ref="A28:D28"/>
    <mergeCell ref="A1:D2"/>
  </mergeCells>
  <phoneticPr fontId="15" type="noConversion"/>
  <pageMargins left="0.51180555555555596" right="0.118055555555556" top="0.74791666666666701" bottom="0.74791666666666701" header="0.31388888888888899" footer="0.31388888888888899"/>
  <pageSetup paperSize="9" orientation="portrait"/>
</worksheet>
</file>

<file path=xl/worksheets/sheet2.xml><?xml version="1.0" encoding="utf-8"?>
<worksheet xmlns="http://schemas.openxmlformats.org/spreadsheetml/2006/main" xmlns:r="http://schemas.openxmlformats.org/officeDocument/2006/relationships">
  <dimension ref="A1:I58"/>
  <sheetViews>
    <sheetView workbookViewId="0">
      <selection activeCell="K17" sqref="K17"/>
    </sheetView>
  </sheetViews>
  <sheetFormatPr defaultRowHeight="13.5"/>
  <cols>
    <col min="1" max="1" width="8.5" customWidth="1"/>
    <col min="2" max="2" width="21.625" style="25" customWidth="1"/>
    <col min="3" max="3" width="12.875" style="47" customWidth="1"/>
    <col min="4" max="4" width="12.375" style="47" customWidth="1"/>
    <col min="5" max="5" width="9.25" style="47" customWidth="1"/>
    <col min="6" max="6" width="9" style="47"/>
    <col min="7" max="7" width="8.625" style="47" customWidth="1"/>
    <col min="8" max="8" width="9" style="47"/>
    <col min="9" max="9" width="10.5" style="47" customWidth="1"/>
    <col min="11" max="11" width="12.875" customWidth="1"/>
  </cols>
  <sheetData>
    <row r="1" spans="1:9" ht="39" customHeight="1">
      <c r="A1" s="86" t="s">
        <v>27</v>
      </c>
      <c r="B1" s="86"/>
      <c r="C1" s="86"/>
      <c r="D1" s="86"/>
      <c r="E1" s="86"/>
      <c r="F1" s="86"/>
      <c r="G1" s="86"/>
      <c r="H1" s="86"/>
      <c r="I1" s="86"/>
    </row>
    <row r="2" spans="1:9" ht="16.5" customHeight="1">
      <c r="A2" s="69"/>
      <c r="B2" s="70"/>
      <c r="C2" s="71"/>
      <c r="D2" s="71"/>
      <c r="E2" s="71"/>
      <c r="F2" s="71"/>
      <c r="G2" s="71"/>
      <c r="H2" s="71"/>
      <c r="I2" s="79" t="s">
        <v>1</v>
      </c>
    </row>
    <row r="3" spans="1:9" ht="27">
      <c r="A3" s="82" t="s">
        <v>28</v>
      </c>
      <c r="B3" s="83"/>
      <c r="C3" s="72" t="s">
        <v>19</v>
      </c>
      <c r="D3" s="72" t="s">
        <v>29</v>
      </c>
      <c r="E3" s="72" t="s">
        <v>30</v>
      </c>
      <c r="F3" s="72" t="s">
        <v>31</v>
      </c>
      <c r="G3" s="72" t="s">
        <v>32</v>
      </c>
      <c r="H3" s="72" t="s">
        <v>33</v>
      </c>
      <c r="I3" s="72" t="s">
        <v>34</v>
      </c>
    </row>
    <row r="4" spans="1:9">
      <c r="A4" s="73" t="s">
        <v>35</v>
      </c>
      <c r="B4" s="74" t="s">
        <v>36</v>
      </c>
      <c r="C4" s="72"/>
      <c r="D4" s="72"/>
      <c r="E4" s="72"/>
      <c r="F4" s="72"/>
      <c r="G4" s="72"/>
      <c r="H4" s="72"/>
      <c r="I4" s="72"/>
    </row>
    <row r="5" spans="1:9">
      <c r="A5" s="73" t="s">
        <v>37</v>
      </c>
      <c r="B5" s="74"/>
      <c r="C5" s="75">
        <v>1</v>
      </c>
      <c r="D5" s="75">
        <v>2</v>
      </c>
      <c r="E5" s="75">
        <v>3</v>
      </c>
      <c r="F5" s="75">
        <v>4</v>
      </c>
      <c r="G5" s="75">
        <v>5</v>
      </c>
      <c r="H5" s="75">
        <v>6</v>
      </c>
      <c r="I5" s="75">
        <v>7</v>
      </c>
    </row>
    <row r="6" spans="1:9">
      <c r="A6" s="73" t="s">
        <v>38</v>
      </c>
      <c r="B6" s="74"/>
      <c r="C6" s="76">
        <f>538947925.76/10000</f>
        <v>53894.792576</v>
      </c>
      <c r="D6" s="76">
        <f>518008099.93/10000</f>
        <v>51800.809993000003</v>
      </c>
      <c r="E6" s="76">
        <f>2165500/10000</f>
        <v>216.55</v>
      </c>
      <c r="F6" s="76">
        <v>0</v>
      </c>
      <c r="G6" s="76">
        <v>0</v>
      </c>
      <c r="H6" s="76">
        <v>0</v>
      </c>
      <c r="I6" s="76">
        <f>18774325.83/10000</f>
        <v>1877.4325829999998</v>
      </c>
    </row>
    <row r="7" spans="1:9">
      <c r="A7" s="77" t="s">
        <v>39</v>
      </c>
      <c r="B7" s="78" t="s">
        <v>40</v>
      </c>
      <c r="C7" s="76">
        <f>10745344.16/10000</f>
        <v>1074.534416</v>
      </c>
      <c r="D7" s="76">
        <f>10745344.16/10000</f>
        <v>1074.534416</v>
      </c>
      <c r="E7" s="76">
        <v>0</v>
      </c>
      <c r="F7" s="76">
        <v>0</v>
      </c>
      <c r="G7" s="76">
        <v>0</v>
      </c>
      <c r="H7" s="76">
        <v>0</v>
      </c>
      <c r="I7" s="76">
        <v>0</v>
      </c>
    </row>
    <row r="8" spans="1:9">
      <c r="A8" s="77" t="s">
        <v>41</v>
      </c>
      <c r="B8" s="78" t="s">
        <v>42</v>
      </c>
      <c r="C8" s="76">
        <f>10745344.16/10000</f>
        <v>1074.534416</v>
      </c>
      <c r="D8" s="76">
        <f>10745344.16/10000</f>
        <v>1074.534416</v>
      </c>
      <c r="E8" s="76">
        <v>0</v>
      </c>
      <c r="F8" s="76">
        <v>0</v>
      </c>
      <c r="G8" s="76">
        <v>0</v>
      </c>
      <c r="H8" s="76">
        <v>0</v>
      </c>
      <c r="I8" s="76">
        <v>0</v>
      </c>
    </row>
    <row r="9" spans="1:9" ht="27">
      <c r="A9" s="77" t="s">
        <v>43</v>
      </c>
      <c r="B9" s="78" t="s">
        <v>44</v>
      </c>
      <c r="C9" s="76">
        <f>1574522.7/10000</f>
        <v>157.45227</v>
      </c>
      <c r="D9" s="76">
        <f>1574522.7/10000</f>
        <v>157.45227</v>
      </c>
      <c r="E9" s="76">
        <v>0</v>
      </c>
      <c r="F9" s="76">
        <v>0</v>
      </c>
      <c r="G9" s="76">
        <v>0</v>
      </c>
      <c r="H9" s="76">
        <v>0</v>
      </c>
      <c r="I9" s="76">
        <v>0</v>
      </c>
    </row>
    <row r="10" spans="1:9">
      <c r="A10" s="77" t="s">
        <v>45</v>
      </c>
      <c r="B10" s="78" t="s">
        <v>46</v>
      </c>
      <c r="C10" s="76">
        <f>2996732.64/10000</f>
        <v>299.67326400000002</v>
      </c>
      <c r="D10" s="76">
        <f>2996732.64/10000</f>
        <v>299.67326400000002</v>
      </c>
      <c r="E10" s="76">
        <v>0</v>
      </c>
      <c r="F10" s="76">
        <v>0</v>
      </c>
      <c r="G10" s="76">
        <v>0</v>
      </c>
      <c r="H10" s="76">
        <v>0</v>
      </c>
      <c r="I10" s="76">
        <v>0</v>
      </c>
    </row>
    <row r="11" spans="1:9" ht="27">
      <c r="A11" s="77" t="s">
        <v>47</v>
      </c>
      <c r="B11" s="78" t="s">
        <v>48</v>
      </c>
      <c r="C11" s="76">
        <f>5671638.42/10000</f>
        <v>567.16384200000005</v>
      </c>
      <c r="D11" s="76">
        <f>5671638.42/10000</f>
        <v>567.16384200000005</v>
      </c>
      <c r="E11" s="76">
        <v>0</v>
      </c>
      <c r="F11" s="76">
        <v>0</v>
      </c>
      <c r="G11" s="76">
        <v>0</v>
      </c>
      <c r="H11" s="76">
        <v>0</v>
      </c>
      <c r="I11" s="76">
        <v>0</v>
      </c>
    </row>
    <row r="12" spans="1:9" ht="27">
      <c r="A12" s="77" t="s">
        <v>49</v>
      </c>
      <c r="B12" s="78" t="s">
        <v>50</v>
      </c>
      <c r="C12" s="76">
        <f>502450.4/10000</f>
        <v>50.245040000000003</v>
      </c>
      <c r="D12" s="76">
        <f>502450.4/10000</f>
        <v>50.245040000000003</v>
      </c>
      <c r="E12" s="76">
        <v>0</v>
      </c>
      <c r="F12" s="76">
        <v>0</v>
      </c>
      <c r="G12" s="76">
        <v>0</v>
      </c>
      <c r="H12" s="76">
        <v>0</v>
      </c>
      <c r="I12" s="76">
        <v>0</v>
      </c>
    </row>
    <row r="13" spans="1:9">
      <c r="A13" s="77" t="s">
        <v>51</v>
      </c>
      <c r="B13" s="78" t="s">
        <v>52</v>
      </c>
      <c r="C13" s="76">
        <f>2708431.05/10000</f>
        <v>270.84310499999998</v>
      </c>
      <c r="D13" s="76">
        <f>2708431.05/10000</f>
        <v>270.84310499999998</v>
      </c>
      <c r="E13" s="76">
        <v>0</v>
      </c>
      <c r="F13" s="76">
        <v>0</v>
      </c>
      <c r="G13" s="76">
        <v>0</v>
      </c>
      <c r="H13" s="76">
        <v>0</v>
      </c>
      <c r="I13" s="76">
        <v>0</v>
      </c>
    </row>
    <row r="14" spans="1:9">
      <c r="A14" s="77" t="s">
        <v>53</v>
      </c>
      <c r="B14" s="78" t="s">
        <v>54</v>
      </c>
      <c r="C14" s="76">
        <f>2708431.05/10000</f>
        <v>270.84310499999998</v>
      </c>
      <c r="D14" s="76">
        <f>2708431.05/10000</f>
        <v>270.84310499999998</v>
      </c>
      <c r="E14" s="76">
        <v>0</v>
      </c>
      <c r="F14" s="76">
        <v>0</v>
      </c>
      <c r="G14" s="76">
        <v>0</v>
      </c>
      <c r="H14" s="76">
        <v>0</v>
      </c>
      <c r="I14" s="76">
        <v>0</v>
      </c>
    </row>
    <row r="15" spans="1:9">
      <c r="A15" s="77" t="s">
        <v>55</v>
      </c>
      <c r="B15" s="78" t="s">
        <v>56</v>
      </c>
      <c r="C15" s="76">
        <f>1231537.73/10000</f>
        <v>123.153773</v>
      </c>
      <c r="D15" s="76">
        <f>1231537.73/10000</f>
        <v>123.153773</v>
      </c>
      <c r="E15" s="76">
        <v>0</v>
      </c>
      <c r="F15" s="76">
        <v>0</v>
      </c>
      <c r="G15" s="76">
        <v>0</v>
      </c>
      <c r="H15" s="76">
        <v>0</v>
      </c>
      <c r="I15" s="76">
        <v>0</v>
      </c>
    </row>
    <row r="16" spans="1:9">
      <c r="A16" s="77" t="s">
        <v>57</v>
      </c>
      <c r="B16" s="78" t="s">
        <v>58</v>
      </c>
      <c r="C16" s="76">
        <f>930130.57/10000</f>
        <v>93.013056999999989</v>
      </c>
      <c r="D16" s="76">
        <f>930130.57/10000</f>
        <v>93.013056999999989</v>
      </c>
      <c r="E16" s="76">
        <v>0</v>
      </c>
      <c r="F16" s="76">
        <v>0</v>
      </c>
      <c r="G16" s="76">
        <v>0</v>
      </c>
      <c r="H16" s="76">
        <v>0</v>
      </c>
      <c r="I16" s="76">
        <v>0</v>
      </c>
    </row>
    <row r="17" spans="1:9">
      <c r="A17" s="77" t="s">
        <v>59</v>
      </c>
      <c r="B17" s="78" t="s">
        <v>60</v>
      </c>
      <c r="C17" s="76">
        <f>546294.75/10000</f>
        <v>54.629474999999999</v>
      </c>
      <c r="D17" s="76">
        <f>546294.75/10000</f>
        <v>54.629474999999999</v>
      </c>
      <c r="E17" s="76">
        <v>0</v>
      </c>
      <c r="F17" s="76">
        <v>0</v>
      </c>
      <c r="G17" s="76">
        <v>0</v>
      </c>
      <c r="H17" s="76">
        <v>0</v>
      </c>
      <c r="I17" s="76">
        <v>0</v>
      </c>
    </row>
    <row r="18" spans="1:9" ht="27">
      <c r="A18" s="77" t="s">
        <v>61</v>
      </c>
      <c r="B18" s="78" t="s">
        <v>62</v>
      </c>
      <c r="C18" s="76">
        <f>468/10000</f>
        <v>4.6800000000000001E-2</v>
      </c>
      <c r="D18" s="76">
        <f>468/10000</f>
        <v>4.6800000000000001E-2</v>
      </c>
      <c r="E18" s="76">
        <v>0</v>
      </c>
      <c r="F18" s="76">
        <v>0</v>
      </c>
      <c r="G18" s="76">
        <v>0</v>
      </c>
      <c r="H18" s="76">
        <v>0</v>
      </c>
      <c r="I18" s="76">
        <v>0</v>
      </c>
    </row>
    <row r="19" spans="1:9">
      <c r="A19" s="77" t="s">
        <v>63</v>
      </c>
      <c r="B19" s="78" t="s">
        <v>64</v>
      </c>
      <c r="C19" s="76">
        <f>313000405.71/10000</f>
        <v>31300.040570999998</v>
      </c>
      <c r="D19" s="76">
        <f>306040174.29/10000</f>
        <v>30604.017429000003</v>
      </c>
      <c r="E19" s="76">
        <f>2165500/10000</f>
        <v>216.55</v>
      </c>
      <c r="F19" s="76">
        <v>0</v>
      </c>
      <c r="G19" s="76">
        <v>0</v>
      </c>
      <c r="H19" s="76">
        <v>0</v>
      </c>
      <c r="I19" s="76">
        <f>4794731.42/10000</f>
        <v>479.473142</v>
      </c>
    </row>
    <row r="20" spans="1:9">
      <c r="A20" s="77" t="s">
        <v>65</v>
      </c>
      <c r="B20" s="78" t="s">
        <v>66</v>
      </c>
      <c r="C20" s="76">
        <f>31306889.93/10000</f>
        <v>3130.6889929999998</v>
      </c>
      <c r="D20" s="76">
        <f>27027740.06/10000</f>
        <v>2702.7740059999996</v>
      </c>
      <c r="E20" s="76">
        <f>165000/10000</f>
        <v>16.5</v>
      </c>
      <c r="F20" s="76">
        <v>0</v>
      </c>
      <c r="G20" s="76">
        <v>0</v>
      </c>
      <c r="H20" s="76">
        <v>0</v>
      </c>
      <c r="I20" s="76">
        <f>4114149.87/10000</f>
        <v>411.414987</v>
      </c>
    </row>
    <row r="21" spans="1:9">
      <c r="A21" s="77" t="s">
        <v>67</v>
      </c>
      <c r="B21" s="78" t="s">
        <v>68</v>
      </c>
      <c r="C21" s="76">
        <f>20625706.46/10000</f>
        <v>2062.5706460000001</v>
      </c>
      <c r="D21" s="76">
        <f>20625706.46/10000</f>
        <v>2062.5706460000001</v>
      </c>
      <c r="E21" s="76">
        <v>0</v>
      </c>
      <c r="F21" s="76">
        <v>0</v>
      </c>
      <c r="G21" s="76">
        <v>0</v>
      </c>
      <c r="H21" s="76">
        <v>0</v>
      </c>
      <c r="I21" s="76">
        <v>0</v>
      </c>
    </row>
    <row r="22" spans="1:9">
      <c r="A22" s="77" t="s">
        <v>69</v>
      </c>
      <c r="B22" s="78" t="s">
        <v>70</v>
      </c>
      <c r="C22" s="76">
        <f>1574533.85/10000</f>
        <v>157.453385</v>
      </c>
      <c r="D22" s="76">
        <f>1574533.85/10000</f>
        <v>157.453385</v>
      </c>
      <c r="E22" s="76">
        <v>0</v>
      </c>
      <c r="F22" s="76">
        <v>0</v>
      </c>
      <c r="G22" s="76">
        <v>0</v>
      </c>
      <c r="H22" s="76">
        <v>0</v>
      </c>
      <c r="I22" s="76">
        <v>0</v>
      </c>
    </row>
    <row r="23" spans="1:9" ht="27">
      <c r="A23" s="77" t="s">
        <v>71</v>
      </c>
      <c r="B23" s="78" t="s">
        <v>72</v>
      </c>
      <c r="C23" s="76">
        <f>9106649.62/10000</f>
        <v>910.66496199999995</v>
      </c>
      <c r="D23" s="76">
        <f>4827499.75/10000</f>
        <v>482.74997500000001</v>
      </c>
      <c r="E23" s="76">
        <f>165000/10000</f>
        <v>16.5</v>
      </c>
      <c r="F23" s="76">
        <v>0</v>
      </c>
      <c r="G23" s="76">
        <v>0</v>
      </c>
      <c r="H23" s="76">
        <v>0</v>
      </c>
      <c r="I23" s="76">
        <f>4114149.87/10000</f>
        <v>411.414987</v>
      </c>
    </row>
    <row r="24" spans="1:9">
      <c r="A24" s="77" t="s">
        <v>73</v>
      </c>
      <c r="B24" s="78" t="s">
        <v>74</v>
      </c>
      <c r="C24" s="76">
        <f>200129103.74/10000</f>
        <v>20012.910373999999</v>
      </c>
      <c r="D24" s="76">
        <f>200129103.74/10000</f>
        <v>20012.910373999999</v>
      </c>
      <c r="E24" s="76">
        <v>0</v>
      </c>
      <c r="F24" s="76">
        <v>0</v>
      </c>
      <c r="G24" s="76">
        <v>0</v>
      </c>
      <c r="H24" s="76">
        <v>0</v>
      </c>
      <c r="I24" s="76">
        <v>0</v>
      </c>
    </row>
    <row r="25" spans="1:9" ht="27">
      <c r="A25" s="77" t="s">
        <v>75</v>
      </c>
      <c r="B25" s="78" t="s">
        <v>76</v>
      </c>
      <c r="C25" s="76">
        <f>200129103.74/10000</f>
        <v>20012.910373999999</v>
      </c>
      <c r="D25" s="76">
        <f>200129103.74/10000</f>
        <v>20012.910373999999</v>
      </c>
      <c r="E25" s="76">
        <v>0</v>
      </c>
      <c r="F25" s="76">
        <v>0</v>
      </c>
      <c r="G25" s="76">
        <v>0</v>
      </c>
      <c r="H25" s="76">
        <v>0</v>
      </c>
      <c r="I25" s="76">
        <v>0</v>
      </c>
    </row>
    <row r="26" spans="1:9">
      <c r="A26" s="77" t="s">
        <v>77</v>
      </c>
      <c r="B26" s="78" t="s">
        <v>78</v>
      </c>
      <c r="C26" s="76">
        <f>30509918.61/10000</f>
        <v>3050.991861</v>
      </c>
      <c r="D26" s="76">
        <f>27828837.06/10000</f>
        <v>2782.8837060000001</v>
      </c>
      <c r="E26" s="76">
        <f>2000500/10000</f>
        <v>200.05</v>
      </c>
      <c r="F26" s="76">
        <v>0</v>
      </c>
      <c r="G26" s="76">
        <v>0</v>
      </c>
      <c r="H26" s="76">
        <v>0</v>
      </c>
      <c r="I26" s="76">
        <f>680581.55/10000</f>
        <v>68.058154999999999</v>
      </c>
    </row>
    <row r="27" spans="1:9">
      <c r="A27" s="77" t="s">
        <v>79</v>
      </c>
      <c r="B27" s="78" t="s">
        <v>80</v>
      </c>
      <c r="C27" s="76">
        <f>30509918.61/10000</f>
        <v>3050.991861</v>
      </c>
      <c r="D27" s="76">
        <f>27828837.06/10000</f>
        <v>2782.8837060000001</v>
      </c>
      <c r="E27" s="76">
        <f>2000500/10000</f>
        <v>200.05</v>
      </c>
      <c r="F27" s="76">
        <v>0</v>
      </c>
      <c r="G27" s="76">
        <v>0</v>
      </c>
      <c r="H27" s="76">
        <v>0</v>
      </c>
      <c r="I27" s="76">
        <f>680581.55/10000</f>
        <v>68.058154999999999</v>
      </c>
    </row>
    <row r="28" spans="1:9" ht="40.5">
      <c r="A28" s="77" t="s">
        <v>81</v>
      </c>
      <c r="B28" s="78" t="s">
        <v>82</v>
      </c>
      <c r="C28" s="76">
        <f>26029360/10000</f>
        <v>2602.9360000000001</v>
      </c>
      <c r="D28" s="76">
        <f>26029360/10000</f>
        <v>2602.9360000000001</v>
      </c>
      <c r="E28" s="76">
        <v>0</v>
      </c>
      <c r="F28" s="76">
        <v>0</v>
      </c>
      <c r="G28" s="76">
        <v>0</v>
      </c>
      <c r="H28" s="76">
        <v>0</v>
      </c>
      <c r="I28" s="76">
        <v>0</v>
      </c>
    </row>
    <row r="29" spans="1:9">
      <c r="A29" s="77" t="s">
        <v>83</v>
      </c>
      <c r="B29" s="78" t="s">
        <v>84</v>
      </c>
      <c r="C29" s="76">
        <f>24720000/10000</f>
        <v>2472</v>
      </c>
      <c r="D29" s="76">
        <f>24720000/10000</f>
        <v>2472</v>
      </c>
      <c r="E29" s="76">
        <v>0</v>
      </c>
      <c r="F29" s="76">
        <v>0</v>
      </c>
      <c r="G29" s="76">
        <v>0</v>
      </c>
      <c r="H29" s="76">
        <v>0</v>
      </c>
      <c r="I29" s="76">
        <v>0</v>
      </c>
    </row>
    <row r="30" spans="1:9">
      <c r="A30" s="77" t="s">
        <v>85</v>
      </c>
      <c r="B30" s="78" t="s">
        <v>86</v>
      </c>
      <c r="C30" s="76">
        <f>1069360/10000</f>
        <v>106.93600000000001</v>
      </c>
      <c r="D30" s="76">
        <f>1069360/10000</f>
        <v>106.93600000000001</v>
      </c>
      <c r="E30" s="76">
        <v>0</v>
      </c>
      <c r="F30" s="76">
        <v>0</v>
      </c>
      <c r="G30" s="76">
        <v>0</v>
      </c>
      <c r="H30" s="76">
        <v>0</v>
      </c>
      <c r="I30" s="76">
        <v>0</v>
      </c>
    </row>
    <row r="31" spans="1:9" ht="27">
      <c r="A31" s="77" t="s">
        <v>87</v>
      </c>
      <c r="B31" s="78" t="s">
        <v>88</v>
      </c>
      <c r="C31" s="76">
        <f>240000/10000</f>
        <v>24</v>
      </c>
      <c r="D31" s="76">
        <f>240000/10000</f>
        <v>24</v>
      </c>
      <c r="E31" s="76">
        <v>0</v>
      </c>
      <c r="F31" s="76">
        <v>0</v>
      </c>
      <c r="G31" s="76">
        <v>0</v>
      </c>
      <c r="H31" s="76">
        <v>0</v>
      </c>
      <c r="I31" s="76">
        <v>0</v>
      </c>
    </row>
    <row r="32" spans="1:9" ht="40.5">
      <c r="A32" s="77" t="s">
        <v>89</v>
      </c>
      <c r="B32" s="78" t="s">
        <v>90</v>
      </c>
      <c r="C32" s="76">
        <f>19964508.3/10000</f>
        <v>1996.45083</v>
      </c>
      <c r="D32" s="76">
        <f>19964508.3/10000</f>
        <v>1996.45083</v>
      </c>
      <c r="E32" s="76">
        <v>0</v>
      </c>
      <c r="F32" s="76">
        <v>0</v>
      </c>
      <c r="G32" s="76">
        <v>0</v>
      </c>
      <c r="H32" s="76">
        <v>0</v>
      </c>
      <c r="I32" s="76">
        <v>0</v>
      </c>
    </row>
    <row r="33" spans="1:9">
      <c r="A33" s="77" t="s">
        <v>91</v>
      </c>
      <c r="B33" s="78" t="s">
        <v>92</v>
      </c>
      <c r="C33" s="76">
        <f>19548158.3/10000</f>
        <v>1954.81583</v>
      </c>
      <c r="D33" s="76">
        <f>19548158.3/10000</f>
        <v>1954.81583</v>
      </c>
      <c r="E33" s="76">
        <v>0</v>
      </c>
      <c r="F33" s="76">
        <v>0</v>
      </c>
      <c r="G33" s="76">
        <v>0</v>
      </c>
      <c r="H33" s="76">
        <v>0</v>
      </c>
      <c r="I33" s="76">
        <v>0</v>
      </c>
    </row>
    <row r="34" spans="1:9" ht="27">
      <c r="A34" s="77" t="s">
        <v>93</v>
      </c>
      <c r="B34" s="78" t="s">
        <v>94</v>
      </c>
      <c r="C34" s="76">
        <f>416350/10000</f>
        <v>41.634999999999998</v>
      </c>
      <c r="D34" s="76">
        <f>416350/10000</f>
        <v>41.634999999999998</v>
      </c>
      <c r="E34" s="76">
        <v>0</v>
      </c>
      <c r="F34" s="76">
        <v>0</v>
      </c>
      <c r="G34" s="76">
        <v>0</v>
      </c>
      <c r="H34" s="76">
        <v>0</v>
      </c>
      <c r="I34" s="76">
        <v>0</v>
      </c>
    </row>
    <row r="35" spans="1:9" ht="27">
      <c r="A35" s="77" t="s">
        <v>95</v>
      </c>
      <c r="B35" s="78" t="s">
        <v>96</v>
      </c>
      <c r="C35" s="76">
        <f>3060625.13/10000</f>
        <v>306.06251299999997</v>
      </c>
      <c r="D35" s="76">
        <f>3060625.13/10000</f>
        <v>306.06251299999997</v>
      </c>
      <c r="E35" s="76">
        <v>0</v>
      </c>
      <c r="F35" s="76">
        <v>0</v>
      </c>
      <c r="G35" s="76">
        <v>0</v>
      </c>
      <c r="H35" s="76">
        <v>0</v>
      </c>
      <c r="I35" s="76">
        <v>0</v>
      </c>
    </row>
    <row r="36" spans="1:9" ht="27">
      <c r="A36" s="77" t="s">
        <v>97</v>
      </c>
      <c r="B36" s="78" t="s">
        <v>98</v>
      </c>
      <c r="C36" s="76">
        <f>3060625.13/10000</f>
        <v>306.06251299999997</v>
      </c>
      <c r="D36" s="76">
        <f>3060625.13/10000</f>
        <v>306.06251299999997</v>
      </c>
      <c r="E36" s="76">
        <v>0</v>
      </c>
      <c r="F36" s="76">
        <v>0</v>
      </c>
      <c r="G36" s="76">
        <v>0</v>
      </c>
      <c r="H36" s="76">
        <v>0</v>
      </c>
      <c r="I36" s="76">
        <v>0</v>
      </c>
    </row>
    <row r="37" spans="1:9">
      <c r="A37" s="77" t="s">
        <v>99</v>
      </c>
      <c r="B37" s="78" t="s">
        <v>100</v>
      </c>
      <c r="C37" s="76">
        <f>2000000/10000</f>
        <v>200</v>
      </c>
      <c r="D37" s="76">
        <f>2000000/10000</f>
        <v>200</v>
      </c>
      <c r="E37" s="76">
        <v>0</v>
      </c>
      <c r="F37" s="76">
        <v>0</v>
      </c>
      <c r="G37" s="76">
        <v>0</v>
      </c>
      <c r="H37" s="76">
        <v>0</v>
      </c>
      <c r="I37" s="76">
        <v>0</v>
      </c>
    </row>
    <row r="38" spans="1:9">
      <c r="A38" s="77" t="s">
        <v>101</v>
      </c>
      <c r="B38" s="78" t="s">
        <v>102</v>
      </c>
      <c r="C38" s="76">
        <f>2000000/10000</f>
        <v>200</v>
      </c>
      <c r="D38" s="76">
        <f>2000000/10000</f>
        <v>200</v>
      </c>
      <c r="E38" s="76">
        <v>0</v>
      </c>
      <c r="F38" s="76">
        <v>0</v>
      </c>
      <c r="G38" s="76">
        <v>0</v>
      </c>
      <c r="H38" s="76">
        <v>0</v>
      </c>
      <c r="I38" s="76">
        <v>0</v>
      </c>
    </row>
    <row r="39" spans="1:9">
      <c r="A39" s="77" t="s">
        <v>103</v>
      </c>
      <c r="B39" s="78" t="s">
        <v>104</v>
      </c>
      <c r="C39" s="76">
        <f t="shared" ref="C39:D41" si="0">11100000/10000</f>
        <v>1110</v>
      </c>
      <c r="D39" s="76">
        <f t="shared" si="0"/>
        <v>1110</v>
      </c>
      <c r="E39" s="76">
        <v>0</v>
      </c>
      <c r="F39" s="76">
        <v>0</v>
      </c>
      <c r="G39" s="76">
        <v>0</v>
      </c>
      <c r="H39" s="76">
        <v>0</v>
      </c>
      <c r="I39" s="76">
        <v>0</v>
      </c>
    </row>
    <row r="40" spans="1:9">
      <c r="A40" s="77" t="s">
        <v>105</v>
      </c>
      <c r="B40" s="78" t="s">
        <v>106</v>
      </c>
      <c r="C40" s="76">
        <f t="shared" si="0"/>
        <v>1110</v>
      </c>
      <c r="D40" s="76">
        <f t="shared" si="0"/>
        <v>1110</v>
      </c>
      <c r="E40" s="76">
        <v>0</v>
      </c>
      <c r="F40" s="76">
        <v>0</v>
      </c>
      <c r="G40" s="76">
        <v>0</v>
      </c>
      <c r="H40" s="76">
        <v>0</v>
      </c>
      <c r="I40" s="76">
        <v>0</v>
      </c>
    </row>
    <row r="41" spans="1:9">
      <c r="A41" s="77" t="s">
        <v>107</v>
      </c>
      <c r="B41" s="78" t="s">
        <v>108</v>
      </c>
      <c r="C41" s="76">
        <f t="shared" si="0"/>
        <v>1110</v>
      </c>
      <c r="D41" s="76">
        <f t="shared" si="0"/>
        <v>1110</v>
      </c>
      <c r="E41" s="76">
        <v>0</v>
      </c>
      <c r="F41" s="76">
        <v>0</v>
      </c>
      <c r="G41" s="76">
        <v>0</v>
      </c>
      <c r="H41" s="76">
        <v>0</v>
      </c>
      <c r="I41" s="76">
        <v>0</v>
      </c>
    </row>
    <row r="42" spans="1:9">
      <c r="A42" s="77" t="s">
        <v>109</v>
      </c>
      <c r="B42" s="78" t="s">
        <v>110</v>
      </c>
      <c r="C42" s="76">
        <f>199878787.54/10000</f>
        <v>19987.878753999998</v>
      </c>
      <c r="D42" s="76">
        <f>186014850.43/10000</f>
        <v>18601.485043000001</v>
      </c>
      <c r="E42" s="76">
        <v>0</v>
      </c>
      <c r="F42" s="76">
        <v>0</v>
      </c>
      <c r="G42" s="76">
        <v>0</v>
      </c>
      <c r="H42" s="76">
        <v>0</v>
      </c>
      <c r="I42" s="76">
        <f>13863937.11/10000</f>
        <v>1386.3937109999999</v>
      </c>
    </row>
    <row r="43" spans="1:9">
      <c r="A43" s="77" t="s">
        <v>111</v>
      </c>
      <c r="B43" s="78" t="s">
        <v>112</v>
      </c>
      <c r="C43" s="76">
        <f>168822882/10000</f>
        <v>16882.288199999999</v>
      </c>
      <c r="D43" s="76">
        <f>168822882/10000</f>
        <v>16882.288199999999</v>
      </c>
      <c r="E43" s="76">
        <v>0</v>
      </c>
      <c r="F43" s="76">
        <v>0</v>
      </c>
      <c r="G43" s="76">
        <v>0</v>
      </c>
      <c r="H43" s="76">
        <v>0</v>
      </c>
      <c r="I43" s="76">
        <v>0</v>
      </c>
    </row>
    <row r="44" spans="1:9">
      <c r="A44" s="77" t="s">
        <v>113</v>
      </c>
      <c r="B44" s="78" t="s">
        <v>114</v>
      </c>
      <c r="C44" s="76">
        <f>153410200/10000</f>
        <v>15341.02</v>
      </c>
      <c r="D44" s="76">
        <f>153410200/10000</f>
        <v>15341.02</v>
      </c>
      <c r="E44" s="76">
        <v>0</v>
      </c>
      <c r="F44" s="76">
        <v>0</v>
      </c>
      <c r="G44" s="76">
        <v>0</v>
      </c>
      <c r="H44" s="76">
        <v>0</v>
      </c>
      <c r="I44" s="76">
        <v>0</v>
      </c>
    </row>
    <row r="45" spans="1:9">
      <c r="A45" s="77" t="s">
        <v>115</v>
      </c>
      <c r="B45" s="78" t="s">
        <v>116</v>
      </c>
      <c r="C45" s="76">
        <f>10837200/10000</f>
        <v>1083.72</v>
      </c>
      <c r="D45" s="76">
        <f>10837200/10000</f>
        <v>1083.72</v>
      </c>
      <c r="E45" s="76">
        <v>0</v>
      </c>
      <c r="F45" s="76">
        <v>0</v>
      </c>
      <c r="G45" s="76">
        <v>0</v>
      </c>
      <c r="H45" s="76">
        <v>0</v>
      </c>
      <c r="I45" s="76">
        <v>0</v>
      </c>
    </row>
    <row r="46" spans="1:9">
      <c r="A46" s="77" t="s">
        <v>117</v>
      </c>
      <c r="B46" s="78" t="s">
        <v>118</v>
      </c>
      <c r="C46" s="76">
        <f>4575482/10000</f>
        <v>457.54820000000001</v>
      </c>
      <c r="D46" s="76">
        <f>4575482/10000</f>
        <v>457.54820000000001</v>
      </c>
      <c r="E46" s="76">
        <v>0</v>
      </c>
      <c r="F46" s="76">
        <v>0</v>
      </c>
      <c r="G46" s="76">
        <v>0</v>
      </c>
      <c r="H46" s="76">
        <v>0</v>
      </c>
      <c r="I46" s="76">
        <v>0</v>
      </c>
    </row>
    <row r="47" spans="1:9">
      <c r="A47" s="77" t="s">
        <v>119</v>
      </c>
      <c r="B47" s="78" t="s">
        <v>120</v>
      </c>
      <c r="C47" s="76">
        <f>3911326.04/10000</f>
        <v>391.13260400000001</v>
      </c>
      <c r="D47" s="76">
        <f>3911326.04/10000</f>
        <v>391.13260400000001</v>
      </c>
      <c r="E47" s="76">
        <v>0</v>
      </c>
      <c r="F47" s="76">
        <v>0</v>
      </c>
      <c r="G47" s="76">
        <v>0</v>
      </c>
      <c r="H47" s="76">
        <v>0</v>
      </c>
      <c r="I47" s="76">
        <v>0</v>
      </c>
    </row>
    <row r="48" spans="1:9">
      <c r="A48" s="77" t="s">
        <v>121</v>
      </c>
      <c r="B48" s="78" t="s">
        <v>122</v>
      </c>
      <c r="C48" s="76">
        <f>3840739.34/10000</f>
        <v>384.07393400000001</v>
      </c>
      <c r="D48" s="76">
        <f>3840739.34/10000</f>
        <v>384.07393400000001</v>
      </c>
      <c r="E48" s="76">
        <v>0</v>
      </c>
      <c r="F48" s="76">
        <v>0</v>
      </c>
      <c r="G48" s="76">
        <v>0</v>
      </c>
      <c r="H48" s="76">
        <v>0</v>
      </c>
      <c r="I48" s="76">
        <v>0</v>
      </c>
    </row>
    <row r="49" spans="1:9">
      <c r="A49" s="77" t="s">
        <v>123</v>
      </c>
      <c r="B49" s="78" t="s">
        <v>124</v>
      </c>
      <c r="C49" s="76">
        <f>70586.7/10000</f>
        <v>7.0586699999999993</v>
      </c>
      <c r="D49" s="76">
        <f>70586.7/10000</f>
        <v>7.0586699999999993</v>
      </c>
      <c r="E49" s="76">
        <v>0</v>
      </c>
      <c r="F49" s="76">
        <v>0</v>
      </c>
      <c r="G49" s="76">
        <v>0</v>
      </c>
      <c r="H49" s="76">
        <v>0</v>
      </c>
      <c r="I49" s="76">
        <v>0</v>
      </c>
    </row>
    <row r="50" spans="1:9">
      <c r="A50" s="77" t="s">
        <v>125</v>
      </c>
      <c r="B50" s="78" t="s">
        <v>126</v>
      </c>
      <c r="C50" s="76">
        <f>27144579.5/10000</f>
        <v>2714.45795</v>
      </c>
      <c r="D50" s="76">
        <f>13280642.39/10000</f>
        <v>1328.064239</v>
      </c>
      <c r="E50" s="76">
        <v>0</v>
      </c>
      <c r="F50" s="76">
        <v>0</v>
      </c>
      <c r="G50" s="76">
        <v>0</v>
      </c>
      <c r="H50" s="76">
        <v>0</v>
      </c>
      <c r="I50" s="76">
        <f>13863937.11/10000</f>
        <v>1386.3937109999999</v>
      </c>
    </row>
    <row r="51" spans="1:9" ht="27">
      <c r="A51" s="77" t="s">
        <v>127</v>
      </c>
      <c r="B51" s="78" t="s">
        <v>128</v>
      </c>
      <c r="C51" s="76">
        <f>26052098.2/10000</f>
        <v>2605.20982</v>
      </c>
      <c r="D51" s="76">
        <f>12188226.63/10000</f>
        <v>1218.8226630000001</v>
      </c>
      <c r="E51" s="76">
        <v>0</v>
      </c>
      <c r="F51" s="76">
        <v>0</v>
      </c>
      <c r="G51" s="76">
        <v>0</v>
      </c>
      <c r="H51" s="76">
        <v>0</v>
      </c>
      <c r="I51" s="76">
        <f>13863871.57/10000</f>
        <v>1386.3871570000001</v>
      </c>
    </row>
    <row r="52" spans="1:9">
      <c r="A52" s="77" t="s">
        <v>129</v>
      </c>
      <c r="B52" s="78" t="s">
        <v>130</v>
      </c>
      <c r="C52" s="76">
        <f>1092481.3/10000</f>
        <v>109.24813</v>
      </c>
      <c r="D52" s="76">
        <f>1092415.76/10000</f>
        <v>109.24157599999999</v>
      </c>
      <c r="E52" s="76">
        <v>0</v>
      </c>
      <c r="F52" s="76">
        <v>0</v>
      </c>
      <c r="G52" s="76">
        <v>0</v>
      </c>
      <c r="H52" s="76">
        <v>0</v>
      </c>
      <c r="I52" s="76">
        <f>65.54/10000</f>
        <v>6.5540000000000008E-3</v>
      </c>
    </row>
    <row r="53" spans="1:9">
      <c r="A53" s="77" t="s">
        <v>131</v>
      </c>
      <c r="B53" s="78" t="s">
        <v>132</v>
      </c>
      <c r="C53" s="76">
        <f>1514957.3/10000</f>
        <v>151.49573000000001</v>
      </c>
      <c r="D53" s="76">
        <f>1399300/10000</f>
        <v>139.93</v>
      </c>
      <c r="E53" s="76">
        <v>0</v>
      </c>
      <c r="F53" s="76">
        <v>0</v>
      </c>
      <c r="G53" s="76">
        <v>0</v>
      </c>
      <c r="H53" s="76">
        <v>0</v>
      </c>
      <c r="I53" s="76">
        <f>115657.3/10000</f>
        <v>11.56573</v>
      </c>
    </row>
    <row r="54" spans="1:9" ht="27">
      <c r="A54" s="77" t="s">
        <v>133</v>
      </c>
      <c r="B54" s="78" t="s">
        <v>134</v>
      </c>
      <c r="C54" s="76">
        <f>1399300/10000</f>
        <v>139.93</v>
      </c>
      <c r="D54" s="76">
        <f>1399300/10000</f>
        <v>139.93</v>
      </c>
      <c r="E54" s="76">
        <v>0</v>
      </c>
      <c r="F54" s="76">
        <v>0</v>
      </c>
      <c r="G54" s="76">
        <v>0</v>
      </c>
      <c r="H54" s="76">
        <v>0</v>
      </c>
      <c r="I54" s="76">
        <v>0</v>
      </c>
    </row>
    <row r="55" spans="1:9" ht="27">
      <c r="A55" s="77" t="s">
        <v>135</v>
      </c>
      <c r="B55" s="78" t="s">
        <v>136</v>
      </c>
      <c r="C55" s="76">
        <f>1399300/10000</f>
        <v>139.93</v>
      </c>
      <c r="D55" s="76">
        <f>1399300/10000</f>
        <v>139.93</v>
      </c>
      <c r="E55" s="76">
        <v>0</v>
      </c>
      <c r="F55" s="76">
        <v>0</v>
      </c>
      <c r="G55" s="76">
        <v>0</v>
      </c>
      <c r="H55" s="76">
        <v>0</v>
      </c>
      <c r="I55" s="76">
        <v>0</v>
      </c>
    </row>
    <row r="56" spans="1:9">
      <c r="A56" s="77" t="s">
        <v>137</v>
      </c>
      <c r="B56" s="78" t="s">
        <v>132</v>
      </c>
      <c r="C56" s="76">
        <f>115657.3/10000</f>
        <v>11.56573</v>
      </c>
      <c r="D56" s="76">
        <v>0</v>
      </c>
      <c r="E56" s="76">
        <v>0</v>
      </c>
      <c r="F56" s="76">
        <v>0</v>
      </c>
      <c r="G56" s="76">
        <v>0</v>
      </c>
      <c r="H56" s="76">
        <v>0</v>
      </c>
      <c r="I56" s="76">
        <f>115657.3/10000</f>
        <v>11.56573</v>
      </c>
    </row>
    <row r="57" spans="1:9">
      <c r="A57" s="77" t="s">
        <v>138</v>
      </c>
      <c r="B57" s="78" t="s">
        <v>139</v>
      </c>
      <c r="C57" s="76">
        <f>115657.3/10000</f>
        <v>11.56573</v>
      </c>
      <c r="D57" s="76">
        <v>0</v>
      </c>
      <c r="E57" s="76">
        <v>0</v>
      </c>
      <c r="F57" s="76">
        <v>0</v>
      </c>
      <c r="G57" s="76">
        <v>0</v>
      </c>
      <c r="H57" s="76">
        <v>0</v>
      </c>
      <c r="I57" s="76">
        <f>115657.3/10000</f>
        <v>11.56573</v>
      </c>
    </row>
    <row r="58" spans="1:9">
      <c r="A58" s="9" t="s">
        <v>140</v>
      </c>
      <c r="B58" s="31"/>
      <c r="C58" s="9"/>
      <c r="D58" s="9"/>
      <c r="E58" s="9"/>
      <c r="F58" s="9"/>
      <c r="G58" s="9"/>
      <c r="H58" s="9"/>
      <c r="I58" s="9"/>
    </row>
  </sheetData>
  <mergeCells count="2">
    <mergeCell ref="A1:I1"/>
    <mergeCell ref="A3:B3"/>
  </mergeCells>
  <phoneticPr fontId="15" type="noConversion"/>
  <pageMargins left="0" right="0"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A1:H73"/>
  <sheetViews>
    <sheetView workbookViewId="0">
      <selection activeCell="K14" sqref="K14"/>
    </sheetView>
  </sheetViews>
  <sheetFormatPr defaultColWidth="9" defaultRowHeight="13.5"/>
  <cols>
    <col min="1" max="1" width="10.375" customWidth="1"/>
    <col min="2" max="2" width="26" style="25" customWidth="1"/>
    <col min="3" max="3" width="13.5" customWidth="1"/>
    <col min="4" max="4" width="12.625" customWidth="1"/>
    <col min="5" max="5" width="11.75" customWidth="1"/>
    <col min="6" max="6" width="9.375" customWidth="1"/>
    <col min="7" max="7" width="8.625" customWidth="1"/>
    <col min="8" max="8" width="10" customWidth="1"/>
  </cols>
  <sheetData>
    <row r="1" spans="1:8" ht="33" customHeight="1">
      <c r="A1" s="89" t="s">
        <v>141</v>
      </c>
      <c r="B1" s="89"/>
      <c r="C1" s="89"/>
      <c r="D1" s="89"/>
      <c r="E1" s="89"/>
      <c r="F1" s="89"/>
      <c r="G1" s="89"/>
      <c r="H1" s="89"/>
    </row>
    <row r="2" spans="1:8" ht="15">
      <c r="A2" s="63"/>
      <c r="B2" s="64"/>
      <c r="C2" s="10"/>
      <c r="D2" s="11"/>
      <c r="E2" s="10"/>
      <c r="F2" s="10"/>
      <c r="G2" s="10"/>
      <c r="H2" s="65" t="s">
        <v>1</v>
      </c>
    </row>
    <row r="3" spans="1:8" ht="25.5" customHeight="1">
      <c r="A3" s="90" t="s">
        <v>28</v>
      </c>
      <c r="B3" s="90"/>
      <c r="C3" s="88" t="s">
        <v>20</v>
      </c>
      <c r="D3" s="88" t="s">
        <v>142</v>
      </c>
      <c r="E3" s="88" t="s">
        <v>143</v>
      </c>
      <c r="F3" s="88" t="s">
        <v>144</v>
      </c>
      <c r="G3" s="88" t="s">
        <v>145</v>
      </c>
      <c r="H3" s="88" t="s">
        <v>146</v>
      </c>
    </row>
    <row r="4" spans="1:8">
      <c r="A4" s="66" t="s">
        <v>35</v>
      </c>
      <c r="B4" s="6" t="s">
        <v>36</v>
      </c>
      <c r="C4" s="88"/>
      <c r="D4" s="88"/>
      <c r="E4" s="88"/>
      <c r="F4" s="88"/>
      <c r="G4" s="88"/>
      <c r="H4" s="88"/>
    </row>
    <row r="5" spans="1:8">
      <c r="A5" s="88" t="s">
        <v>37</v>
      </c>
      <c r="B5" s="88"/>
      <c r="C5" s="67">
        <v>1</v>
      </c>
      <c r="D5" s="67">
        <v>2</v>
      </c>
      <c r="E5" s="67">
        <v>3</v>
      </c>
      <c r="F5" s="67">
        <v>4</v>
      </c>
      <c r="G5" s="67">
        <v>5</v>
      </c>
      <c r="H5" s="67">
        <v>6</v>
      </c>
    </row>
    <row r="6" spans="1:8">
      <c r="A6" s="88" t="s">
        <v>38</v>
      </c>
      <c r="B6" s="88"/>
      <c r="C6" s="68">
        <f>668455840.92/10000</f>
        <v>66845.58409199999</v>
      </c>
      <c r="D6" s="68">
        <f>67088897.57/10000</f>
        <v>6708.8897569999999</v>
      </c>
      <c r="E6" s="68">
        <f>601366943.35/10000</f>
        <v>60136.694335</v>
      </c>
      <c r="F6" s="68">
        <v>0</v>
      </c>
      <c r="G6" s="68">
        <v>0</v>
      </c>
      <c r="H6" s="68">
        <v>0</v>
      </c>
    </row>
    <row r="7" spans="1:8">
      <c r="A7" s="66" t="s">
        <v>147</v>
      </c>
      <c r="B7" s="6" t="s">
        <v>148</v>
      </c>
      <c r="C7" s="68">
        <f>78403/10000</f>
        <v>7.8403</v>
      </c>
      <c r="D7" s="68">
        <v>0</v>
      </c>
      <c r="E7" s="68">
        <f>78403/10000</f>
        <v>7.8403</v>
      </c>
      <c r="F7" s="68">
        <v>0</v>
      </c>
      <c r="G7" s="68">
        <v>0</v>
      </c>
      <c r="H7" s="68">
        <v>0</v>
      </c>
    </row>
    <row r="8" spans="1:8">
      <c r="A8" s="66" t="s">
        <v>149</v>
      </c>
      <c r="B8" s="6" t="s">
        <v>150</v>
      </c>
      <c r="C8" s="68">
        <f>78403/10000</f>
        <v>7.8403</v>
      </c>
      <c r="D8" s="68">
        <v>0</v>
      </c>
      <c r="E8" s="68">
        <f>78403/10000</f>
        <v>7.8403</v>
      </c>
      <c r="F8" s="68">
        <v>0</v>
      </c>
      <c r="G8" s="68">
        <v>0</v>
      </c>
      <c r="H8" s="68">
        <v>0</v>
      </c>
    </row>
    <row r="9" spans="1:8">
      <c r="A9" s="66" t="s">
        <v>151</v>
      </c>
      <c r="B9" s="6" t="s">
        <v>152</v>
      </c>
      <c r="C9" s="68">
        <f>78403/10000</f>
        <v>7.8403</v>
      </c>
      <c r="D9" s="68">
        <v>0</v>
      </c>
      <c r="E9" s="68">
        <f>78403/10000</f>
        <v>7.8403</v>
      </c>
      <c r="F9" s="68">
        <v>0</v>
      </c>
      <c r="G9" s="68">
        <v>0</v>
      </c>
      <c r="H9" s="68">
        <v>0</v>
      </c>
    </row>
    <row r="10" spans="1:8">
      <c r="A10" s="66" t="s">
        <v>39</v>
      </c>
      <c r="B10" s="6" t="s">
        <v>40</v>
      </c>
      <c r="C10" s="68">
        <f>10770419.37/10000</f>
        <v>1077.041937</v>
      </c>
      <c r="D10" s="68">
        <f>10770419.37/10000</f>
        <v>1077.041937</v>
      </c>
      <c r="E10" s="68">
        <v>0</v>
      </c>
      <c r="F10" s="68">
        <v>0</v>
      </c>
      <c r="G10" s="68">
        <v>0</v>
      </c>
      <c r="H10" s="68">
        <v>0</v>
      </c>
    </row>
    <row r="11" spans="1:8">
      <c r="A11" s="66" t="s">
        <v>41</v>
      </c>
      <c r="B11" s="6" t="s">
        <v>42</v>
      </c>
      <c r="C11" s="68">
        <f>10770419.37/10000</f>
        <v>1077.041937</v>
      </c>
      <c r="D11" s="68">
        <f>10770419.37/10000</f>
        <v>1077.041937</v>
      </c>
      <c r="E11" s="68">
        <v>0</v>
      </c>
      <c r="F11" s="68">
        <v>0</v>
      </c>
      <c r="G11" s="68">
        <v>0</v>
      </c>
      <c r="H11" s="68">
        <v>0</v>
      </c>
    </row>
    <row r="12" spans="1:8">
      <c r="A12" s="66" t="s">
        <v>43</v>
      </c>
      <c r="B12" s="6" t="s">
        <v>44</v>
      </c>
      <c r="C12" s="68">
        <f>1581510.9/10000</f>
        <v>158.15108999999998</v>
      </c>
      <c r="D12" s="68">
        <f>1581510.9/10000</f>
        <v>158.15108999999998</v>
      </c>
      <c r="E12" s="68">
        <v>0</v>
      </c>
      <c r="F12" s="68">
        <v>0</v>
      </c>
      <c r="G12" s="68">
        <v>0</v>
      </c>
      <c r="H12" s="68">
        <v>0</v>
      </c>
    </row>
    <row r="13" spans="1:8">
      <c r="A13" s="66" t="s">
        <v>45</v>
      </c>
      <c r="B13" s="6" t="s">
        <v>46</v>
      </c>
      <c r="C13" s="68">
        <f>2998172.95/10000</f>
        <v>299.817295</v>
      </c>
      <c r="D13" s="68">
        <f>2998172.95/10000</f>
        <v>299.817295</v>
      </c>
      <c r="E13" s="68">
        <v>0</v>
      </c>
      <c r="F13" s="68">
        <v>0</v>
      </c>
      <c r="G13" s="68">
        <v>0</v>
      </c>
      <c r="H13" s="68">
        <v>0</v>
      </c>
    </row>
    <row r="14" spans="1:8" ht="27">
      <c r="A14" s="66" t="s">
        <v>47</v>
      </c>
      <c r="B14" s="6" t="s">
        <v>48</v>
      </c>
      <c r="C14" s="68">
        <f>5688285.12/10000</f>
        <v>568.82851200000005</v>
      </c>
      <c r="D14" s="68">
        <f>5688285.12/10000</f>
        <v>568.82851200000005</v>
      </c>
      <c r="E14" s="68">
        <v>0</v>
      </c>
      <c r="F14" s="68">
        <v>0</v>
      </c>
      <c r="G14" s="68">
        <v>0</v>
      </c>
      <c r="H14" s="68">
        <v>0</v>
      </c>
    </row>
    <row r="15" spans="1:8" ht="27">
      <c r="A15" s="66" t="s">
        <v>49</v>
      </c>
      <c r="B15" s="6" t="s">
        <v>50</v>
      </c>
      <c r="C15" s="68">
        <f>502450.4/10000</f>
        <v>50.245040000000003</v>
      </c>
      <c r="D15" s="68">
        <f>502450.4/10000</f>
        <v>50.245040000000003</v>
      </c>
      <c r="E15" s="68">
        <v>0</v>
      </c>
      <c r="F15" s="68">
        <v>0</v>
      </c>
      <c r="G15" s="68">
        <v>0</v>
      </c>
      <c r="H15" s="68">
        <v>0</v>
      </c>
    </row>
    <row r="16" spans="1:8">
      <c r="A16" s="66" t="s">
        <v>51</v>
      </c>
      <c r="B16" s="6" t="s">
        <v>52</v>
      </c>
      <c r="C16" s="68">
        <f>2725151.25/10000</f>
        <v>272.51512500000001</v>
      </c>
      <c r="D16" s="68">
        <f>2725151.25/10000</f>
        <v>272.51512500000001</v>
      </c>
      <c r="E16" s="68">
        <v>0</v>
      </c>
      <c r="F16" s="68">
        <v>0</v>
      </c>
      <c r="G16" s="68">
        <v>0</v>
      </c>
      <c r="H16" s="68">
        <v>0</v>
      </c>
    </row>
    <row r="17" spans="1:8">
      <c r="A17" s="66" t="s">
        <v>53</v>
      </c>
      <c r="B17" s="6" t="s">
        <v>54</v>
      </c>
      <c r="C17" s="68">
        <f>2725151.25/10000</f>
        <v>272.51512500000001</v>
      </c>
      <c r="D17" s="68">
        <f>2725151.25/10000</f>
        <v>272.51512500000001</v>
      </c>
      <c r="E17" s="68">
        <v>0</v>
      </c>
      <c r="F17" s="68">
        <v>0</v>
      </c>
      <c r="G17" s="68">
        <v>0</v>
      </c>
      <c r="H17" s="68">
        <v>0</v>
      </c>
    </row>
    <row r="18" spans="1:8">
      <c r="A18" s="66" t="s">
        <v>55</v>
      </c>
      <c r="B18" s="6" t="s">
        <v>56</v>
      </c>
      <c r="C18" s="68">
        <f>1257523.74/10000</f>
        <v>125.752374</v>
      </c>
      <c r="D18" s="68">
        <f>1257523.74/10000</f>
        <v>125.752374</v>
      </c>
      <c r="E18" s="68">
        <v>0</v>
      </c>
      <c r="F18" s="68">
        <v>0</v>
      </c>
      <c r="G18" s="68">
        <v>0</v>
      </c>
      <c r="H18" s="68">
        <v>0</v>
      </c>
    </row>
    <row r="19" spans="1:8">
      <c r="A19" s="66" t="s">
        <v>57</v>
      </c>
      <c r="B19" s="6" t="s">
        <v>58</v>
      </c>
      <c r="C19" s="68">
        <f>921188.76/10000</f>
        <v>92.118876</v>
      </c>
      <c r="D19" s="68">
        <f>921188.76/10000</f>
        <v>92.118876</v>
      </c>
      <c r="E19" s="68">
        <v>0</v>
      </c>
      <c r="F19" s="68">
        <v>0</v>
      </c>
      <c r="G19" s="68">
        <v>0</v>
      </c>
      <c r="H19" s="68">
        <v>0</v>
      </c>
    </row>
    <row r="20" spans="1:8">
      <c r="A20" s="66" t="s">
        <v>59</v>
      </c>
      <c r="B20" s="6" t="s">
        <v>60</v>
      </c>
      <c r="C20" s="68">
        <f>546294.75/10000</f>
        <v>54.629474999999999</v>
      </c>
      <c r="D20" s="68">
        <f>546294.75/10000</f>
        <v>54.629474999999999</v>
      </c>
      <c r="E20" s="68">
        <v>0</v>
      </c>
      <c r="F20" s="68">
        <v>0</v>
      </c>
      <c r="G20" s="68">
        <v>0</v>
      </c>
      <c r="H20" s="68">
        <v>0</v>
      </c>
    </row>
    <row r="21" spans="1:8">
      <c r="A21" s="66" t="s">
        <v>61</v>
      </c>
      <c r="B21" s="6" t="s">
        <v>62</v>
      </c>
      <c r="C21" s="68">
        <f>144/10000</f>
        <v>1.44E-2</v>
      </c>
      <c r="D21" s="68">
        <f>144/10000</f>
        <v>1.44E-2</v>
      </c>
      <c r="E21" s="68">
        <v>0</v>
      </c>
      <c r="F21" s="68">
        <v>0</v>
      </c>
      <c r="G21" s="68">
        <v>0</v>
      </c>
      <c r="H21" s="68">
        <v>0</v>
      </c>
    </row>
    <row r="22" spans="1:8">
      <c r="A22" s="66" t="s">
        <v>153</v>
      </c>
      <c r="B22" s="6" t="s">
        <v>154</v>
      </c>
      <c r="C22" s="68">
        <f>1020000/10000</f>
        <v>102</v>
      </c>
      <c r="D22" s="68">
        <v>0</v>
      </c>
      <c r="E22" s="68">
        <f>1020000/10000</f>
        <v>102</v>
      </c>
      <c r="F22" s="68">
        <v>0</v>
      </c>
      <c r="G22" s="68">
        <v>0</v>
      </c>
      <c r="H22" s="68">
        <v>0</v>
      </c>
    </row>
    <row r="23" spans="1:8">
      <c r="A23" s="66" t="s">
        <v>155</v>
      </c>
      <c r="B23" s="6" t="s">
        <v>156</v>
      </c>
      <c r="C23" s="68">
        <f>1020000/10000</f>
        <v>102</v>
      </c>
      <c r="D23" s="68">
        <v>0</v>
      </c>
      <c r="E23" s="68">
        <f>1020000/10000</f>
        <v>102</v>
      </c>
      <c r="F23" s="68">
        <v>0</v>
      </c>
      <c r="G23" s="68">
        <v>0</v>
      </c>
      <c r="H23" s="68">
        <v>0</v>
      </c>
    </row>
    <row r="24" spans="1:8">
      <c r="A24" s="66" t="s">
        <v>157</v>
      </c>
      <c r="B24" s="6" t="s">
        <v>158</v>
      </c>
      <c r="C24" s="68">
        <f>1020000/10000</f>
        <v>102</v>
      </c>
      <c r="D24" s="68">
        <v>0</v>
      </c>
      <c r="E24" s="68">
        <f>1020000/10000</f>
        <v>102</v>
      </c>
      <c r="F24" s="68">
        <v>0</v>
      </c>
      <c r="G24" s="68">
        <v>0</v>
      </c>
      <c r="H24" s="68">
        <v>0</v>
      </c>
    </row>
    <row r="25" spans="1:8">
      <c r="A25" s="66" t="s">
        <v>63</v>
      </c>
      <c r="B25" s="6" t="s">
        <v>64</v>
      </c>
      <c r="C25" s="68">
        <f>395104451.37/10000</f>
        <v>39510.445137000002</v>
      </c>
      <c r="D25" s="68">
        <f>34670619.28/10000</f>
        <v>3467.0619280000001</v>
      </c>
      <c r="E25" s="68">
        <f>360433832.09/10000</f>
        <v>36043.383209</v>
      </c>
      <c r="F25" s="68">
        <v>0</v>
      </c>
      <c r="G25" s="68">
        <v>0</v>
      </c>
      <c r="H25" s="68">
        <v>0</v>
      </c>
    </row>
    <row r="26" spans="1:8">
      <c r="A26" s="66" t="s">
        <v>65</v>
      </c>
      <c r="B26" s="6" t="s">
        <v>66</v>
      </c>
      <c r="C26" s="68">
        <f>60424979.16/10000</f>
        <v>6042.4979159999993</v>
      </c>
      <c r="D26" s="68">
        <f>23381450.43/10000</f>
        <v>2338.145043</v>
      </c>
      <c r="E26" s="68">
        <f>37043528.73/10000</f>
        <v>3704.3528729999998</v>
      </c>
      <c r="F26" s="68">
        <v>0</v>
      </c>
      <c r="G26" s="68">
        <v>0</v>
      </c>
      <c r="H26" s="68">
        <v>0</v>
      </c>
    </row>
    <row r="27" spans="1:8">
      <c r="A27" s="66" t="s">
        <v>67</v>
      </c>
      <c r="B27" s="6" t="s">
        <v>68</v>
      </c>
      <c r="C27" s="68">
        <f>20614993.47/10000</f>
        <v>2061.4993469999999</v>
      </c>
      <c r="D27" s="68">
        <f>20541993.47/10000</f>
        <v>2054.1993469999998</v>
      </c>
      <c r="E27" s="68">
        <f>73000/10000</f>
        <v>7.3</v>
      </c>
      <c r="F27" s="68">
        <v>0</v>
      </c>
      <c r="G27" s="68">
        <v>0</v>
      </c>
      <c r="H27" s="68">
        <v>0</v>
      </c>
    </row>
    <row r="28" spans="1:8">
      <c r="A28" s="66" t="s">
        <v>69</v>
      </c>
      <c r="B28" s="6" t="s">
        <v>70</v>
      </c>
      <c r="C28" s="68">
        <f>1752165.7/10000</f>
        <v>175.21656999999999</v>
      </c>
      <c r="D28" s="68">
        <v>0</v>
      </c>
      <c r="E28" s="68">
        <f>1752165.7/10000</f>
        <v>175.21656999999999</v>
      </c>
      <c r="F28" s="68">
        <v>0</v>
      </c>
      <c r="G28" s="68">
        <v>0</v>
      </c>
      <c r="H28" s="68">
        <v>0</v>
      </c>
    </row>
    <row r="29" spans="1:8">
      <c r="A29" s="66" t="s">
        <v>159</v>
      </c>
      <c r="B29" s="6" t="s">
        <v>160</v>
      </c>
      <c r="C29" s="68">
        <f>28940000/10000</f>
        <v>2894</v>
      </c>
      <c r="D29" s="68">
        <v>0</v>
      </c>
      <c r="E29" s="68">
        <f>28940000/10000</f>
        <v>2894</v>
      </c>
      <c r="F29" s="68">
        <v>0</v>
      </c>
      <c r="G29" s="68">
        <v>0</v>
      </c>
      <c r="H29" s="68">
        <v>0</v>
      </c>
    </row>
    <row r="30" spans="1:8">
      <c r="A30" s="66" t="s">
        <v>71</v>
      </c>
      <c r="B30" s="6" t="s">
        <v>72</v>
      </c>
      <c r="C30" s="68">
        <f>9117819.99/10000</f>
        <v>911.78199900000004</v>
      </c>
      <c r="D30" s="68">
        <f>2839456.96/10000</f>
        <v>283.945696</v>
      </c>
      <c r="E30" s="68">
        <f>6278363.03/10000</f>
        <v>627.83630300000004</v>
      </c>
      <c r="F30" s="68">
        <v>0</v>
      </c>
      <c r="G30" s="68">
        <v>0</v>
      </c>
      <c r="H30" s="68">
        <v>0</v>
      </c>
    </row>
    <row r="31" spans="1:8">
      <c r="A31" s="66" t="s">
        <v>161</v>
      </c>
      <c r="B31" s="6" t="s">
        <v>162</v>
      </c>
      <c r="C31" s="68">
        <f>770600/10000</f>
        <v>77.06</v>
      </c>
      <c r="D31" s="68">
        <v>0</v>
      </c>
      <c r="E31" s="68">
        <f>770600/10000</f>
        <v>77.06</v>
      </c>
      <c r="F31" s="68">
        <v>0</v>
      </c>
      <c r="G31" s="68">
        <v>0</v>
      </c>
      <c r="H31" s="68">
        <v>0</v>
      </c>
    </row>
    <row r="32" spans="1:8">
      <c r="A32" s="66" t="s">
        <v>163</v>
      </c>
      <c r="B32" s="6" t="s">
        <v>164</v>
      </c>
      <c r="C32" s="68">
        <f>770600/10000</f>
        <v>77.06</v>
      </c>
      <c r="D32" s="68">
        <v>0</v>
      </c>
      <c r="E32" s="68">
        <f>770600/10000</f>
        <v>77.06</v>
      </c>
      <c r="F32" s="68">
        <v>0</v>
      </c>
      <c r="G32" s="68">
        <v>0</v>
      </c>
      <c r="H32" s="68">
        <v>0</v>
      </c>
    </row>
    <row r="33" spans="1:8">
      <c r="A33" s="66" t="s">
        <v>73</v>
      </c>
      <c r="B33" s="6" t="s">
        <v>74</v>
      </c>
      <c r="C33" s="68">
        <f>240800888.84/10000</f>
        <v>24080.088884000001</v>
      </c>
      <c r="D33" s="68">
        <f>2357/10000</f>
        <v>0.23569999999999999</v>
      </c>
      <c r="E33" s="68">
        <f>240798531.84/10000</f>
        <v>24079.853184</v>
      </c>
      <c r="F33" s="68">
        <v>0</v>
      </c>
      <c r="G33" s="68">
        <v>0</v>
      </c>
      <c r="H33" s="68">
        <v>0</v>
      </c>
    </row>
    <row r="34" spans="1:8">
      <c r="A34" s="66" t="s">
        <v>75</v>
      </c>
      <c r="B34" s="6" t="s">
        <v>76</v>
      </c>
      <c r="C34" s="68">
        <f>240800888.84/10000</f>
        <v>24080.088884000001</v>
      </c>
      <c r="D34" s="68">
        <f>2357/10000</f>
        <v>0.23569999999999999</v>
      </c>
      <c r="E34" s="68">
        <f>240798531.84/10000</f>
        <v>24079.853184</v>
      </c>
      <c r="F34" s="68">
        <v>0</v>
      </c>
      <c r="G34" s="68">
        <v>0</v>
      </c>
      <c r="H34" s="68">
        <v>0</v>
      </c>
    </row>
    <row r="35" spans="1:8">
      <c r="A35" s="66" t="s">
        <v>165</v>
      </c>
      <c r="B35" s="6" t="s">
        <v>166</v>
      </c>
      <c r="C35" s="68">
        <f>300000/10000</f>
        <v>30</v>
      </c>
      <c r="D35" s="68">
        <v>0</v>
      </c>
      <c r="E35" s="68">
        <f>300000/10000</f>
        <v>30</v>
      </c>
      <c r="F35" s="68">
        <v>0</v>
      </c>
      <c r="G35" s="68">
        <v>0</v>
      </c>
      <c r="H35" s="68">
        <v>0</v>
      </c>
    </row>
    <row r="36" spans="1:8">
      <c r="A36" s="66" t="s">
        <v>167</v>
      </c>
      <c r="B36" s="6" t="s">
        <v>168</v>
      </c>
      <c r="C36" s="68">
        <f>300000/10000</f>
        <v>30</v>
      </c>
      <c r="D36" s="68">
        <v>0</v>
      </c>
      <c r="E36" s="68">
        <f>300000/10000</f>
        <v>30</v>
      </c>
      <c r="F36" s="68">
        <v>0</v>
      </c>
      <c r="G36" s="68">
        <v>0</v>
      </c>
      <c r="H36" s="68">
        <v>0</v>
      </c>
    </row>
    <row r="37" spans="1:8">
      <c r="A37" s="66" t="s">
        <v>77</v>
      </c>
      <c r="B37" s="6" t="s">
        <v>78</v>
      </c>
      <c r="C37" s="68">
        <f>37414449.96/10000</f>
        <v>3741.4449960000002</v>
      </c>
      <c r="D37" s="68">
        <f>10529275.5/10000</f>
        <v>1052.9275500000001</v>
      </c>
      <c r="E37" s="68">
        <f>26885174.46/10000</f>
        <v>2688.5174460000003</v>
      </c>
      <c r="F37" s="68">
        <v>0</v>
      </c>
      <c r="G37" s="68">
        <v>0</v>
      </c>
      <c r="H37" s="68">
        <v>0</v>
      </c>
    </row>
    <row r="38" spans="1:8">
      <c r="A38" s="66" t="s">
        <v>79</v>
      </c>
      <c r="B38" s="6" t="s">
        <v>80</v>
      </c>
      <c r="C38" s="68">
        <f>37414449.96/10000</f>
        <v>3741.4449960000002</v>
      </c>
      <c r="D38" s="68">
        <f>10529275.5/10000</f>
        <v>1052.9275500000001</v>
      </c>
      <c r="E38" s="68">
        <f>26885174.46/10000</f>
        <v>2688.5174460000003</v>
      </c>
      <c r="F38" s="68">
        <v>0</v>
      </c>
      <c r="G38" s="68">
        <v>0</v>
      </c>
      <c r="H38" s="68">
        <v>0</v>
      </c>
    </row>
    <row r="39" spans="1:8" ht="27">
      <c r="A39" s="66" t="s">
        <v>81</v>
      </c>
      <c r="B39" s="6" t="s">
        <v>82</v>
      </c>
      <c r="C39" s="68">
        <f>26029360/10000</f>
        <v>2602.9360000000001</v>
      </c>
      <c r="D39" s="68">
        <v>0</v>
      </c>
      <c r="E39" s="68">
        <f>26029360/10000</f>
        <v>2602.9360000000001</v>
      </c>
      <c r="F39" s="68">
        <v>0</v>
      </c>
      <c r="G39" s="68">
        <v>0</v>
      </c>
      <c r="H39" s="68">
        <v>0</v>
      </c>
    </row>
    <row r="40" spans="1:8">
      <c r="A40" s="66" t="s">
        <v>83</v>
      </c>
      <c r="B40" s="6" t="s">
        <v>84</v>
      </c>
      <c r="C40" s="68">
        <f>24720000/10000</f>
        <v>2472</v>
      </c>
      <c r="D40" s="68">
        <v>0</v>
      </c>
      <c r="E40" s="68">
        <f>24720000/10000</f>
        <v>2472</v>
      </c>
      <c r="F40" s="68">
        <v>0</v>
      </c>
      <c r="G40" s="68">
        <v>0</v>
      </c>
      <c r="H40" s="68">
        <v>0</v>
      </c>
    </row>
    <row r="41" spans="1:8">
      <c r="A41" s="66" t="s">
        <v>85</v>
      </c>
      <c r="B41" s="6" t="s">
        <v>86</v>
      </c>
      <c r="C41" s="68">
        <f>1069360/10000</f>
        <v>106.93600000000001</v>
      </c>
      <c r="D41" s="68">
        <v>0</v>
      </c>
      <c r="E41" s="68">
        <f>1069360/10000</f>
        <v>106.93600000000001</v>
      </c>
      <c r="F41" s="68">
        <v>0</v>
      </c>
      <c r="G41" s="68">
        <v>0</v>
      </c>
      <c r="H41" s="68">
        <v>0</v>
      </c>
    </row>
    <row r="42" spans="1:8" ht="27">
      <c r="A42" s="66" t="s">
        <v>87</v>
      </c>
      <c r="B42" s="6" t="s">
        <v>88</v>
      </c>
      <c r="C42" s="68">
        <f>240000/10000</f>
        <v>24</v>
      </c>
      <c r="D42" s="68">
        <v>0</v>
      </c>
      <c r="E42" s="68">
        <f>240000/10000</f>
        <v>24</v>
      </c>
      <c r="F42" s="68">
        <v>0</v>
      </c>
      <c r="G42" s="68">
        <v>0</v>
      </c>
      <c r="H42" s="68">
        <v>0</v>
      </c>
    </row>
    <row r="43" spans="1:8" ht="27">
      <c r="A43" s="66" t="s">
        <v>89</v>
      </c>
      <c r="B43" s="6" t="s">
        <v>90</v>
      </c>
      <c r="C43" s="68">
        <f>19826260.28/10000</f>
        <v>1982.6260280000001</v>
      </c>
      <c r="D43" s="68">
        <f>278101.98/10000</f>
        <v>27.810198</v>
      </c>
      <c r="E43" s="68">
        <f>19548158.3/10000</f>
        <v>1954.81583</v>
      </c>
      <c r="F43" s="68">
        <v>0</v>
      </c>
      <c r="G43" s="68">
        <v>0</v>
      </c>
      <c r="H43" s="68">
        <v>0</v>
      </c>
    </row>
    <row r="44" spans="1:8">
      <c r="A44" s="66" t="s">
        <v>91</v>
      </c>
      <c r="B44" s="6" t="s">
        <v>92</v>
      </c>
      <c r="C44" s="68">
        <f>19548158.3/10000</f>
        <v>1954.81583</v>
      </c>
      <c r="D44" s="68">
        <v>0</v>
      </c>
      <c r="E44" s="68">
        <f>19548158.3/10000</f>
        <v>1954.81583</v>
      </c>
      <c r="F44" s="68">
        <v>0</v>
      </c>
      <c r="G44" s="68">
        <v>0</v>
      </c>
      <c r="H44" s="68">
        <v>0</v>
      </c>
    </row>
    <row r="45" spans="1:8" ht="27">
      <c r="A45" s="66" t="s">
        <v>93</v>
      </c>
      <c r="B45" s="6" t="s">
        <v>94</v>
      </c>
      <c r="C45" s="68">
        <f>278101.98/10000</f>
        <v>27.810198</v>
      </c>
      <c r="D45" s="68">
        <f>278101.98/10000</f>
        <v>27.810198</v>
      </c>
      <c r="E45" s="68">
        <v>0</v>
      </c>
      <c r="F45" s="68">
        <v>0</v>
      </c>
      <c r="G45" s="68">
        <v>0</v>
      </c>
      <c r="H45" s="68">
        <v>0</v>
      </c>
    </row>
    <row r="46" spans="1:8" ht="27">
      <c r="A46" s="66" t="s">
        <v>95</v>
      </c>
      <c r="B46" s="6" t="s">
        <v>96</v>
      </c>
      <c r="C46" s="68">
        <f>3060625.13/10000</f>
        <v>306.06251299999997</v>
      </c>
      <c r="D46" s="68">
        <f>479434.37/10000</f>
        <v>47.943437000000003</v>
      </c>
      <c r="E46" s="68">
        <f>2581190.76/10000</f>
        <v>258.11907599999995</v>
      </c>
      <c r="F46" s="68">
        <v>0</v>
      </c>
      <c r="G46" s="68">
        <v>0</v>
      </c>
      <c r="H46" s="68">
        <v>0</v>
      </c>
    </row>
    <row r="47" spans="1:8">
      <c r="A47" s="66" t="s">
        <v>97</v>
      </c>
      <c r="B47" s="6" t="s">
        <v>98</v>
      </c>
      <c r="C47" s="68">
        <f>3060625.13/10000</f>
        <v>306.06251299999997</v>
      </c>
      <c r="D47" s="68">
        <f>479434.37/10000</f>
        <v>47.943437000000003</v>
      </c>
      <c r="E47" s="68">
        <f>2581190.76/10000</f>
        <v>258.11907599999995</v>
      </c>
      <c r="F47" s="68">
        <v>0</v>
      </c>
      <c r="G47" s="68">
        <v>0</v>
      </c>
      <c r="H47" s="68">
        <v>0</v>
      </c>
    </row>
    <row r="48" spans="1:8">
      <c r="A48" s="66" t="s">
        <v>99</v>
      </c>
      <c r="B48" s="6" t="s">
        <v>100</v>
      </c>
      <c r="C48" s="68">
        <f>6477288/10000</f>
        <v>647.72879999999998</v>
      </c>
      <c r="D48" s="68">
        <v>0</v>
      </c>
      <c r="E48" s="68">
        <f>6477288/10000</f>
        <v>647.72879999999998</v>
      </c>
      <c r="F48" s="68">
        <v>0</v>
      </c>
      <c r="G48" s="68">
        <v>0</v>
      </c>
      <c r="H48" s="68">
        <v>0</v>
      </c>
    </row>
    <row r="49" spans="1:8">
      <c r="A49" s="66" t="s">
        <v>101</v>
      </c>
      <c r="B49" s="6" t="s">
        <v>102</v>
      </c>
      <c r="C49" s="68">
        <f>6477288/10000</f>
        <v>647.72879999999998</v>
      </c>
      <c r="D49" s="68">
        <v>0</v>
      </c>
      <c r="E49" s="68">
        <f>6477288/10000</f>
        <v>647.72879999999998</v>
      </c>
      <c r="F49" s="68">
        <v>0</v>
      </c>
      <c r="G49" s="68">
        <v>0</v>
      </c>
      <c r="H49" s="68">
        <v>0</v>
      </c>
    </row>
    <row r="50" spans="1:8">
      <c r="A50" s="66" t="s">
        <v>103</v>
      </c>
      <c r="B50" s="6" t="s">
        <v>104</v>
      </c>
      <c r="C50" s="68">
        <f>11100000/10000</f>
        <v>1110</v>
      </c>
      <c r="D50" s="68">
        <v>0</v>
      </c>
      <c r="E50" s="68">
        <f>11100000/10000</f>
        <v>1110</v>
      </c>
      <c r="F50" s="68">
        <v>0</v>
      </c>
      <c r="G50" s="68">
        <v>0</v>
      </c>
      <c r="H50" s="68">
        <v>0</v>
      </c>
    </row>
    <row r="51" spans="1:8">
      <c r="A51" s="66" t="s">
        <v>105</v>
      </c>
      <c r="B51" s="6" t="s">
        <v>106</v>
      </c>
      <c r="C51" s="68">
        <f>11100000/10000</f>
        <v>1110</v>
      </c>
      <c r="D51" s="68">
        <v>0</v>
      </c>
      <c r="E51" s="68">
        <f>11100000/10000</f>
        <v>1110</v>
      </c>
      <c r="F51" s="68">
        <v>0</v>
      </c>
      <c r="G51" s="68">
        <v>0</v>
      </c>
      <c r="H51" s="68">
        <v>0</v>
      </c>
    </row>
    <row r="52" spans="1:8">
      <c r="A52" s="66" t="s">
        <v>107</v>
      </c>
      <c r="B52" s="6" t="s">
        <v>108</v>
      </c>
      <c r="C52" s="68">
        <f>11100000/10000</f>
        <v>1110</v>
      </c>
      <c r="D52" s="68">
        <v>0</v>
      </c>
      <c r="E52" s="68">
        <f>11100000/10000</f>
        <v>1110</v>
      </c>
      <c r="F52" s="68">
        <v>0</v>
      </c>
      <c r="G52" s="68">
        <v>0</v>
      </c>
      <c r="H52" s="68">
        <v>0</v>
      </c>
    </row>
    <row r="53" spans="1:8">
      <c r="A53" s="66" t="s">
        <v>169</v>
      </c>
      <c r="B53" s="6" t="s">
        <v>170</v>
      </c>
      <c r="C53" s="68">
        <f>3250000/10000</f>
        <v>325</v>
      </c>
      <c r="D53" s="68">
        <v>0</v>
      </c>
      <c r="E53" s="68">
        <f>3250000/10000</f>
        <v>325</v>
      </c>
      <c r="F53" s="68">
        <v>0</v>
      </c>
      <c r="G53" s="68">
        <v>0</v>
      </c>
      <c r="H53" s="68">
        <v>0</v>
      </c>
    </row>
    <row r="54" spans="1:8">
      <c r="A54" s="66" t="s">
        <v>171</v>
      </c>
      <c r="B54" s="6" t="s">
        <v>172</v>
      </c>
      <c r="C54" s="68">
        <f>3250000/10000</f>
        <v>325</v>
      </c>
      <c r="D54" s="68">
        <v>0</v>
      </c>
      <c r="E54" s="68">
        <f>3250000/10000</f>
        <v>325</v>
      </c>
      <c r="F54" s="68">
        <v>0</v>
      </c>
      <c r="G54" s="68">
        <v>0</v>
      </c>
      <c r="H54" s="68">
        <v>0</v>
      </c>
    </row>
    <row r="55" spans="1:8">
      <c r="A55" s="66" t="s">
        <v>173</v>
      </c>
      <c r="B55" s="6" t="s">
        <v>174</v>
      </c>
      <c r="C55" s="68">
        <f>3250000/10000</f>
        <v>325</v>
      </c>
      <c r="D55" s="68">
        <v>0</v>
      </c>
      <c r="E55" s="68">
        <f>3250000/10000</f>
        <v>325</v>
      </c>
      <c r="F55" s="68">
        <v>0</v>
      </c>
      <c r="G55" s="68">
        <v>0</v>
      </c>
      <c r="H55" s="68">
        <v>0</v>
      </c>
    </row>
    <row r="56" spans="1:8">
      <c r="A56" s="66" t="s">
        <v>109</v>
      </c>
      <c r="B56" s="6" t="s">
        <v>110</v>
      </c>
      <c r="C56" s="68">
        <f>242892458.63/10000</f>
        <v>24289.245863</v>
      </c>
      <c r="D56" s="68">
        <f>18807050.37/10000</f>
        <v>1880.7050370000002</v>
      </c>
      <c r="E56" s="68">
        <f>224085408.26/10000</f>
        <v>22408.540826</v>
      </c>
      <c r="F56" s="68">
        <v>0</v>
      </c>
      <c r="G56" s="68">
        <v>0</v>
      </c>
      <c r="H56" s="68">
        <v>0</v>
      </c>
    </row>
    <row r="57" spans="1:8">
      <c r="A57" s="66" t="s">
        <v>111</v>
      </c>
      <c r="B57" s="6" t="s">
        <v>112</v>
      </c>
      <c r="C57" s="68">
        <f>215277000.38/10000</f>
        <v>21527.700037999999</v>
      </c>
      <c r="D57" s="68">
        <v>0</v>
      </c>
      <c r="E57" s="68">
        <f>215277000.38/10000</f>
        <v>21527.700037999999</v>
      </c>
      <c r="F57" s="68">
        <v>0</v>
      </c>
      <c r="G57" s="68">
        <v>0</v>
      </c>
      <c r="H57" s="68">
        <v>0</v>
      </c>
    </row>
    <row r="58" spans="1:8">
      <c r="A58" s="66" t="s">
        <v>113</v>
      </c>
      <c r="B58" s="6" t="s">
        <v>114</v>
      </c>
      <c r="C58" s="68">
        <f>190112817.9/10000</f>
        <v>19011.281790000001</v>
      </c>
      <c r="D58" s="68">
        <v>0</v>
      </c>
      <c r="E58" s="68">
        <f>190112817.9/10000</f>
        <v>19011.281790000001</v>
      </c>
      <c r="F58" s="68">
        <v>0</v>
      </c>
      <c r="G58" s="68">
        <v>0</v>
      </c>
      <c r="H58" s="68">
        <v>0</v>
      </c>
    </row>
    <row r="59" spans="1:8">
      <c r="A59" s="66" t="s">
        <v>175</v>
      </c>
      <c r="B59" s="6" t="s">
        <v>176</v>
      </c>
      <c r="C59" s="68">
        <f>120000/10000</f>
        <v>12</v>
      </c>
      <c r="D59" s="68">
        <v>0</v>
      </c>
      <c r="E59" s="68">
        <f>120000/10000</f>
        <v>12</v>
      </c>
      <c r="F59" s="68">
        <v>0</v>
      </c>
      <c r="G59" s="68">
        <v>0</v>
      </c>
      <c r="H59" s="68">
        <v>0</v>
      </c>
    </row>
    <row r="60" spans="1:8">
      <c r="A60" s="66" t="s">
        <v>115</v>
      </c>
      <c r="B60" s="6" t="s">
        <v>116</v>
      </c>
      <c r="C60" s="68">
        <f>10994475.38/10000</f>
        <v>1099.4475380000001</v>
      </c>
      <c r="D60" s="68">
        <v>0</v>
      </c>
      <c r="E60" s="68">
        <f>10994475.38/10000</f>
        <v>1099.4475380000001</v>
      </c>
      <c r="F60" s="68">
        <v>0</v>
      </c>
      <c r="G60" s="68">
        <v>0</v>
      </c>
      <c r="H60" s="68">
        <v>0</v>
      </c>
    </row>
    <row r="61" spans="1:8">
      <c r="A61" s="66" t="s">
        <v>117</v>
      </c>
      <c r="B61" s="6" t="s">
        <v>118</v>
      </c>
      <c r="C61" s="68">
        <f>14049707.1/10000</f>
        <v>1404.9707100000001</v>
      </c>
      <c r="D61" s="68">
        <v>0</v>
      </c>
      <c r="E61" s="68">
        <f>14049707.1/10000</f>
        <v>1404.9707100000001</v>
      </c>
      <c r="F61" s="68">
        <v>0</v>
      </c>
      <c r="G61" s="68">
        <v>0</v>
      </c>
      <c r="H61" s="68">
        <v>0</v>
      </c>
    </row>
    <row r="62" spans="1:8">
      <c r="A62" s="66" t="s">
        <v>119</v>
      </c>
      <c r="B62" s="6" t="s">
        <v>120</v>
      </c>
      <c r="C62" s="68">
        <f>3903060.5/10000</f>
        <v>390.30605000000003</v>
      </c>
      <c r="D62" s="68">
        <f>3903060.5/10000</f>
        <v>390.30605000000003</v>
      </c>
      <c r="E62" s="68">
        <v>0</v>
      </c>
      <c r="F62" s="68">
        <v>0</v>
      </c>
      <c r="G62" s="68">
        <v>0</v>
      </c>
      <c r="H62" s="68">
        <v>0</v>
      </c>
    </row>
    <row r="63" spans="1:8">
      <c r="A63" s="66" t="s">
        <v>121</v>
      </c>
      <c r="B63" s="6" t="s">
        <v>122</v>
      </c>
      <c r="C63" s="68">
        <f>3832473.8/10000</f>
        <v>383.24737999999996</v>
      </c>
      <c r="D63" s="68">
        <f>3832473.8/10000</f>
        <v>383.24737999999996</v>
      </c>
      <c r="E63" s="68">
        <v>0</v>
      </c>
      <c r="F63" s="68">
        <v>0</v>
      </c>
      <c r="G63" s="68">
        <v>0</v>
      </c>
      <c r="H63" s="68">
        <v>0</v>
      </c>
    </row>
    <row r="64" spans="1:8">
      <c r="A64" s="66" t="s">
        <v>123</v>
      </c>
      <c r="B64" s="6" t="s">
        <v>124</v>
      </c>
      <c r="C64" s="68">
        <f>70586.7/10000</f>
        <v>7.0586699999999993</v>
      </c>
      <c r="D64" s="68">
        <f>70586.7/10000</f>
        <v>7.0586699999999993</v>
      </c>
      <c r="E64" s="68">
        <v>0</v>
      </c>
      <c r="F64" s="68">
        <v>0</v>
      </c>
      <c r="G64" s="68">
        <v>0</v>
      </c>
      <c r="H64" s="68">
        <v>0</v>
      </c>
    </row>
    <row r="65" spans="1:8">
      <c r="A65" s="66" t="s">
        <v>125</v>
      </c>
      <c r="B65" s="6" t="s">
        <v>126</v>
      </c>
      <c r="C65" s="68">
        <f>23712397.75/10000</f>
        <v>2371.239775</v>
      </c>
      <c r="D65" s="68">
        <f>14903989.87/10000</f>
        <v>1490.3989869999998</v>
      </c>
      <c r="E65" s="68">
        <f>8808407.88/10000</f>
        <v>880.84078800000009</v>
      </c>
      <c r="F65" s="68">
        <v>0</v>
      </c>
      <c r="G65" s="68">
        <v>0</v>
      </c>
      <c r="H65" s="68">
        <v>0</v>
      </c>
    </row>
    <row r="66" spans="1:8" ht="27">
      <c r="A66" s="66" t="s">
        <v>127</v>
      </c>
      <c r="B66" s="6" t="s">
        <v>128</v>
      </c>
      <c r="C66" s="68">
        <f>22490469.54/10000</f>
        <v>2249.0469539999999</v>
      </c>
      <c r="D66" s="68">
        <f>13682061.66/10000</f>
        <v>1368.2061659999999</v>
      </c>
      <c r="E66" s="68">
        <f>8808407.88/10000</f>
        <v>880.84078800000009</v>
      </c>
      <c r="F66" s="68">
        <v>0</v>
      </c>
      <c r="G66" s="68">
        <v>0</v>
      </c>
      <c r="H66" s="68">
        <v>0</v>
      </c>
    </row>
    <row r="67" spans="1:8">
      <c r="A67" s="66" t="s">
        <v>129</v>
      </c>
      <c r="B67" s="6" t="s">
        <v>130</v>
      </c>
      <c r="C67" s="68">
        <f>1221928.21/10000</f>
        <v>122.192821</v>
      </c>
      <c r="D67" s="68">
        <f>1221928.21/10000</f>
        <v>122.192821</v>
      </c>
      <c r="E67" s="68">
        <v>0</v>
      </c>
      <c r="F67" s="68">
        <v>0</v>
      </c>
      <c r="G67" s="68">
        <v>0</v>
      </c>
      <c r="H67" s="68">
        <v>0</v>
      </c>
    </row>
    <row r="68" spans="1:8">
      <c r="A68" s="66" t="s">
        <v>131</v>
      </c>
      <c r="B68" s="6" t="s">
        <v>132</v>
      </c>
      <c r="C68" s="68">
        <f>1514957.3/10000</f>
        <v>151.49573000000001</v>
      </c>
      <c r="D68" s="68">
        <f>115657.3/10000</f>
        <v>11.56573</v>
      </c>
      <c r="E68" s="68">
        <f>1399300/10000</f>
        <v>139.93</v>
      </c>
      <c r="F68" s="68">
        <v>0</v>
      </c>
      <c r="G68" s="68">
        <v>0</v>
      </c>
      <c r="H68" s="68">
        <v>0</v>
      </c>
    </row>
    <row r="69" spans="1:8" ht="27">
      <c r="A69" s="66" t="s">
        <v>133</v>
      </c>
      <c r="B69" s="6" t="s">
        <v>134</v>
      </c>
      <c r="C69" s="68">
        <f>1399300/10000</f>
        <v>139.93</v>
      </c>
      <c r="D69" s="68">
        <v>0</v>
      </c>
      <c r="E69" s="68">
        <f>1399300/10000</f>
        <v>139.93</v>
      </c>
      <c r="F69" s="68">
        <v>0</v>
      </c>
      <c r="G69" s="68">
        <v>0</v>
      </c>
      <c r="H69" s="68">
        <v>0</v>
      </c>
    </row>
    <row r="70" spans="1:8" ht="27">
      <c r="A70" s="66" t="s">
        <v>135</v>
      </c>
      <c r="B70" s="6" t="s">
        <v>136</v>
      </c>
      <c r="C70" s="68">
        <f>1399300/10000</f>
        <v>139.93</v>
      </c>
      <c r="D70" s="68">
        <v>0</v>
      </c>
      <c r="E70" s="68">
        <f>1399300/10000</f>
        <v>139.93</v>
      </c>
      <c r="F70" s="68">
        <v>0</v>
      </c>
      <c r="G70" s="68">
        <v>0</v>
      </c>
      <c r="H70" s="68">
        <v>0</v>
      </c>
    </row>
    <row r="71" spans="1:8">
      <c r="A71" s="66" t="s">
        <v>137</v>
      </c>
      <c r="B71" s="6" t="s">
        <v>132</v>
      </c>
      <c r="C71" s="68">
        <f>115657.3/10000</f>
        <v>11.56573</v>
      </c>
      <c r="D71" s="68">
        <f>115657.3/10000</f>
        <v>11.56573</v>
      </c>
      <c r="E71" s="68">
        <v>0</v>
      </c>
      <c r="F71" s="68">
        <v>0</v>
      </c>
      <c r="G71" s="68">
        <v>0</v>
      </c>
      <c r="H71" s="68">
        <v>0</v>
      </c>
    </row>
    <row r="72" spans="1:8">
      <c r="A72" s="66" t="s">
        <v>138</v>
      </c>
      <c r="B72" s="6" t="s">
        <v>139</v>
      </c>
      <c r="C72" s="68">
        <f>115657.3/10000</f>
        <v>11.56573</v>
      </c>
      <c r="D72" s="68">
        <f>115657.3/10000</f>
        <v>11.56573</v>
      </c>
      <c r="E72" s="68">
        <v>0</v>
      </c>
      <c r="F72" s="68">
        <v>0</v>
      </c>
      <c r="G72" s="68">
        <v>0</v>
      </c>
      <c r="H72" s="68">
        <v>0</v>
      </c>
    </row>
    <row r="73" spans="1:8">
      <c r="A73" s="87" t="s">
        <v>177</v>
      </c>
      <c r="B73" s="87"/>
      <c r="C73" s="87"/>
      <c r="D73" s="87"/>
      <c r="E73" s="87"/>
      <c r="F73" s="87"/>
      <c r="G73" s="87"/>
      <c r="H73" s="87"/>
    </row>
  </sheetData>
  <mergeCells count="11">
    <mergeCell ref="A1:H1"/>
    <mergeCell ref="A3:B3"/>
    <mergeCell ref="A5:B5"/>
    <mergeCell ref="A6:B6"/>
    <mergeCell ref="A73:H73"/>
    <mergeCell ref="C3:C4"/>
    <mergeCell ref="D3:D4"/>
    <mergeCell ref="E3:E4"/>
    <mergeCell ref="F3:F4"/>
    <mergeCell ref="G3:G4"/>
    <mergeCell ref="H3:H4"/>
  </mergeCells>
  <phoneticPr fontId="15" type="noConversion"/>
  <pageMargins left="0" right="0"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dimension ref="A1:H23"/>
  <sheetViews>
    <sheetView workbookViewId="0">
      <selection activeCell="D16" sqref="D16"/>
    </sheetView>
  </sheetViews>
  <sheetFormatPr defaultColWidth="9" defaultRowHeight="13.5"/>
  <cols>
    <col min="1" max="1" width="17.5" style="25" customWidth="1"/>
    <col min="2" max="2" width="5.375" customWidth="1"/>
    <col min="3" max="3" width="12.625" customWidth="1"/>
    <col min="4" max="4" width="20.375" style="25" customWidth="1"/>
    <col min="5" max="5" width="6.25" style="1" customWidth="1"/>
    <col min="6" max="6" width="13" style="47" customWidth="1"/>
    <col min="7" max="8" width="12.875" style="48" customWidth="1"/>
  </cols>
  <sheetData>
    <row r="1" spans="1:8" ht="38.25" customHeight="1">
      <c r="A1" s="101" t="s">
        <v>178</v>
      </c>
      <c r="B1" s="101"/>
      <c r="C1" s="101"/>
      <c r="D1" s="101"/>
      <c r="E1" s="101"/>
      <c r="F1" s="101"/>
      <c r="G1" s="101"/>
      <c r="H1" s="101"/>
    </row>
    <row r="2" spans="1:8" ht="14.25">
      <c r="A2" s="102" t="s">
        <v>1</v>
      </c>
      <c r="B2" s="102"/>
      <c r="C2" s="102"/>
      <c r="D2" s="102"/>
      <c r="E2" s="102"/>
      <c r="F2" s="102"/>
      <c r="G2" s="102"/>
      <c r="H2" s="102"/>
    </row>
    <row r="3" spans="1:8">
      <c r="A3" s="91" t="s">
        <v>179</v>
      </c>
      <c r="B3" s="91"/>
      <c r="C3" s="91"/>
      <c r="D3" s="91" t="s">
        <v>180</v>
      </c>
      <c r="E3" s="91"/>
      <c r="F3" s="91"/>
      <c r="G3" s="91"/>
      <c r="H3" s="91"/>
    </row>
    <row r="4" spans="1:8">
      <c r="A4" s="91" t="s">
        <v>181</v>
      </c>
      <c r="B4" s="92" t="s">
        <v>182</v>
      </c>
      <c r="C4" s="93" t="s">
        <v>183</v>
      </c>
      <c r="D4" s="95" t="s">
        <v>4</v>
      </c>
      <c r="E4" s="93" t="s">
        <v>182</v>
      </c>
      <c r="F4" s="97" t="s">
        <v>38</v>
      </c>
      <c r="G4" s="99" t="s">
        <v>184</v>
      </c>
      <c r="H4" s="99" t="s">
        <v>185</v>
      </c>
    </row>
    <row r="5" spans="1:8" ht="18" customHeight="1">
      <c r="A5" s="91"/>
      <c r="B5" s="92"/>
      <c r="C5" s="94"/>
      <c r="D5" s="96"/>
      <c r="E5" s="94"/>
      <c r="F5" s="98"/>
      <c r="G5" s="100"/>
      <c r="H5" s="100"/>
    </row>
    <row r="6" spans="1:8">
      <c r="A6" s="49" t="s">
        <v>186</v>
      </c>
      <c r="B6" s="50" t="s">
        <v>12</v>
      </c>
      <c r="C6" s="51">
        <v>1</v>
      </c>
      <c r="D6" s="49" t="s">
        <v>186</v>
      </c>
      <c r="E6" s="51" t="s">
        <v>12</v>
      </c>
      <c r="F6" s="52">
        <v>2</v>
      </c>
      <c r="G6" s="53">
        <v>3</v>
      </c>
      <c r="H6" s="53">
        <v>4</v>
      </c>
    </row>
    <row r="7" spans="1:8" ht="27">
      <c r="A7" s="54" t="s">
        <v>187</v>
      </c>
      <c r="B7" s="52">
        <v>1</v>
      </c>
      <c r="C7" s="55">
        <f>467554306.5/10000</f>
        <v>46755.430650000002</v>
      </c>
      <c r="D7" s="54" t="s">
        <v>7</v>
      </c>
      <c r="E7" s="52">
        <v>15</v>
      </c>
      <c r="F7" s="55">
        <f>78403/10000</f>
        <v>7.8403</v>
      </c>
      <c r="G7" s="56">
        <f>78403/10000</f>
        <v>7.8403</v>
      </c>
      <c r="H7" s="56">
        <v>0</v>
      </c>
    </row>
    <row r="8" spans="1:8" ht="27">
      <c r="A8" s="54" t="s">
        <v>188</v>
      </c>
      <c r="B8" s="52">
        <v>2</v>
      </c>
      <c r="C8" s="55">
        <f>50453793.43/10000</f>
        <v>5045.3793429999996</v>
      </c>
      <c r="D8" s="54" t="s">
        <v>273</v>
      </c>
      <c r="E8" s="52">
        <v>16</v>
      </c>
      <c r="F8" s="55">
        <f>10770419.37/10000</f>
        <v>1077.041937</v>
      </c>
      <c r="G8" s="56">
        <f>10770419.37/10000</f>
        <v>1077.041937</v>
      </c>
      <c r="H8" s="56">
        <v>0</v>
      </c>
    </row>
    <row r="9" spans="1:8" ht="27">
      <c r="A9" s="57" t="s">
        <v>12</v>
      </c>
      <c r="B9" s="52">
        <v>3</v>
      </c>
      <c r="C9" s="55" t="s">
        <v>12</v>
      </c>
      <c r="D9" s="54" t="s">
        <v>274</v>
      </c>
      <c r="E9" s="52">
        <v>17</v>
      </c>
      <c r="F9" s="55">
        <f>2725151.25/10000</f>
        <v>272.51512500000001</v>
      </c>
      <c r="G9" s="56">
        <f>2725151.25/10000</f>
        <v>272.51512500000001</v>
      </c>
      <c r="H9" s="56">
        <v>0</v>
      </c>
    </row>
    <row r="10" spans="1:8">
      <c r="A10" s="57" t="s">
        <v>12</v>
      </c>
      <c r="B10" s="52">
        <v>4</v>
      </c>
      <c r="C10" s="55" t="s">
        <v>12</v>
      </c>
      <c r="D10" s="54" t="s">
        <v>275</v>
      </c>
      <c r="E10" s="52">
        <v>18</v>
      </c>
      <c r="F10" s="55">
        <f>1020000/10000</f>
        <v>102</v>
      </c>
      <c r="G10" s="56">
        <f>1020000/10000</f>
        <v>102</v>
      </c>
      <c r="H10" s="56">
        <v>0</v>
      </c>
    </row>
    <row r="11" spans="1:8">
      <c r="A11" s="57"/>
      <c r="B11" s="52">
        <v>5</v>
      </c>
      <c r="C11" s="55"/>
      <c r="D11" s="54" t="s">
        <v>276</v>
      </c>
      <c r="E11" s="52">
        <v>19</v>
      </c>
      <c r="F11" s="55">
        <f>386906866.49/10000</f>
        <v>38690.686649000003</v>
      </c>
      <c r="G11" s="56">
        <f>337990621.08/10000</f>
        <v>33799.062107999998</v>
      </c>
      <c r="H11" s="56">
        <f>48916245.41/10000</f>
        <v>4891.6245409999992</v>
      </c>
    </row>
    <row r="12" spans="1:8">
      <c r="A12" s="57"/>
      <c r="B12" s="52">
        <v>6</v>
      </c>
      <c r="C12" s="55"/>
      <c r="D12" s="54" t="s">
        <v>277</v>
      </c>
      <c r="E12" s="52">
        <v>20</v>
      </c>
      <c r="F12" s="55">
        <f>11100000/10000</f>
        <v>1110</v>
      </c>
      <c r="G12" s="56">
        <f>11100000/10000</f>
        <v>1110</v>
      </c>
      <c r="H12" s="56">
        <v>0</v>
      </c>
    </row>
    <row r="13" spans="1:8" ht="27">
      <c r="A13" s="57" t="s">
        <v>12</v>
      </c>
      <c r="B13" s="52">
        <v>7</v>
      </c>
      <c r="C13" s="55" t="s">
        <v>12</v>
      </c>
      <c r="D13" s="54" t="s">
        <v>278</v>
      </c>
      <c r="E13" s="52">
        <v>21</v>
      </c>
      <c r="F13" s="55">
        <f>3250000/10000</f>
        <v>325</v>
      </c>
      <c r="G13" s="56">
        <f>3250000/10000</f>
        <v>325</v>
      </c>
      <c r="H13" s="56">
        <v>0</v>
      </c>
    </row>
    <row r="14" spans="1:8">
      <c r="A14" s="57" t="s">
        <v>12</v>
      </c>
      <c r="B14" s="52">
        <v>8</v>
      </c>
      <c r="C14" s="55" t="s">
        <v>12</v>
      </c>
      <c r="D14" s="54" t="s">
        <v>279</v>
      </c>
      <c r="E14" s="52">
        <v>22</v>
      </c>
      <c r="F14" s="55">
        <f>234029600.75/10000</f>
        <v>23402.960074999999</v>
      </c>
      <c r="G14" s="56">
        <f>234029600.75/10000</f>
        <v>23402.960074999999</v>
      </c>
      <c r="H14" s="56">
        <v>0</v>
      </c>
    </row>
    <row r="15" spans="1:8">
      <c r="A15" s="57" t="s">
        <v>12</v>
      </c>
      <c r="B15" s="52">
        <v>9</v>
      </c>
      <c r="C15" s="55" t="s">
        <v>12</v>
      </c>
      <c r="D15" s="54" t="s">
        <v>280</v>
      </c>
      <c r="E15" s="52">
        <v>23</v>
      </c>
      <c r="F15" s="55">
        <f>1399300/10000</f>
        <v>139.93</v>
      </c>
      <c r="G15" s="56">
        <v>0</v>
      </c>
      <c r="H15" s="56">
        <f>1399300/10000</f>
        <v>139.93</v>
      </c>
    </row>
    <row r="16" spans="1:8">
      <c r="A16" s="49" t="s">
        <v>19</v>
      </c>
      <c r="B16" s="52">
        <v>10</v>
      </c>
      <c r="C16" s="55">
        <f>518008099.93/10000</f>
        <v>51800.809993000003</v>
      </c>
      <c r="D16" s="49" t="s">
        <v>20</v>
      </c>
      <c r="E16" s="52">
        <v>24</v>
      </c>
      <c r="F16" s="55">
        <f>651279740.86/10000</f>
        <v>65127.974086000002</v>
      </c>
      <c r="G16" s="56">
        <f>600964195.45/10000</f>
        <v>60096.419545000004</v>
      </c>
      <c r="H16" s="56">
        <f>50315545.41/10000</f>
        <v>5031.5545409999995</v>
      </c>
    </row>
    <row r="17" spans="1:8" ht="27">
      <c r="A17" s="54" t="s">
        <v>189</v>
      </c>
      <c r="B17" s="52">
        <v>11</v>
      </c>
      <c r="C17" s="55">
        <f>177227421/10000</f>
        <v>17722.742099999999</v>
      </c>
      <c r="D17" s="54" t="s">
        <v>190</v>
      </c>
      <c r="E17" s="52">
        <v>25</v>
      </c>
      <c r="F17" s="55">
        <f>43955780.07/10000</f>
        <v>4395.5780070000001</v>
      </c>
      <c r="G17" s="56">
        <f>42466723.3/10000</f>
        <v>4246.6723299999994</v>
      </c>
      <c r="H17" s="56">
        <f>1489056.77/10000</f>
        <v>148.905677</v>
      </c>
    </row>
    <row r="18" spans="1:8" ht="27">
      <c r="A18" s="54" t="s">
        <v>187</v>
      </c>
      <c r="B18" s="52">
        <v>12</v>
      </c>
      <c r="C18" s="55">
        <f>175876612.25/10000</f>
        <v>17587.661225</v>
      </c>
      <c r="D18" s="54" t="s">
        <v>191</v>
      </c>
      <c r="E18" s="52">
        <v>26</v>
      </c>
      <c r="F18" s="55">
        <f>5938964.77/10000</f>
        <v>593.896477</v>
      </c>
      <c r="G18" s="56">
        <f>4449908/10000</f>
        <v>444.99079999999998</v>
      </c>
      <c r="H18" s="56">
        <f>1489056.77/10000</f>
        <v>148.905677</v>
      </c>
    </row>
    <row r="19" spans="1:8" ht="27">
      <c r="A19" s="54" t="s">
        <v>188</v>
      </c>
      <c r="B19" s="52">
        <v>13</v>
      </c>
      <c r="C19" s="55">
        <f>1350808.75/10000</f>
        <v>135.08087499999999</v>
      </c>
      <c r="D19" s="54" t="s">
        <v>192</v>
      </c>
      <c r="E19" s="52">
        <v>27</v>
      </c>
      <c r="F19" s="55">
        <f>38016815.3/10000</f>
        <v>3801.6815299999998</v>
      </c>
      <c r="G19" s="56">
        <f>38016815.3/10000</f>
        <v>3801.6815299999998</v>
      </c>
      <c r="H19" s="56">
        <v>0</v>
      </c>
    </row>
    <row r="20" spans="1:8" ht="18" customHeight="1">
      <c r="A20" s="49" t="s">
        <v>25</v>
      </c>
      <c r="B20" s="52">
        <v>14</v>
      </c>
      <c r="C20" s="55">
        <f>695235520.93/10000</f>
        <v>69523.552092999991</v>
      </c>
      <c r="D20" s="49" t="s">
        <v>25</v>
      </c>
      <c r="E20" s="52">
        <v>28</v>
      </c>
      <c r="F20" s="55">
        <f>695235520.93/10000</f>
        <v>69523.552092999991</v>
      </c>
      <c r="G20" s="56">
        <f>643430918.75/10000</f>
        <v>64343.091874999998</v>
      </c>
      <c r="H20" s="56">
        <f>51804602.18/10000</f>
        <v>5180.4602180000002</v>
      </c>
    </row>
    <row r="21" spans="1:8">
      <c r="A21" s="87" t="s">
        <v>193</v>
      </c>
      <c r="B21" s="87"/>
      <c r="C21" s="87"/>
      <c r="D21" s="87"/>
      <c r="E21" s="87"/>
      <c r="F21" s="87"/>
      <c r="G21" s="87"/>
      <c r="H21" s="87"/>
    </row>
    <row r="23" spans="1:8" ht="15">
      <c r="A23" s="58"/>
      <c r="B23" s="59"/>
      <c r="C23" s="59"/>
      <c r="D23" s="58"/>
      <c r="E23" s="60"/>
      <c r="F23" s="61"/>
      <c r="G23" s="62"/>
      <c r="H23" s="62"/>
    </row>
  </sheetData>
  <mergeCells count="13">
    <mergeCell ref="A1:H1"/>
    <mergeCell ref="A2:H2"/>
    <mergeCell ref="A3:C3"/>
    <mergeCell ref="D3:H3"/>
    <mergeCell ref="A21:H21"/>
    <mergeCell ref="A4:A5"/>
    <mergeCell ref="B4:B5"/>
    <mergeCell ref="C4:C5"/>
    <mergeCell ref="D4:D5"/>
    <mergeCell ref="E4:E5"/>
    <mergeCell ref="F4:F5"/>
    <mergeCell ref="G4:G5"/>
    <mergeCell ref="H4:H5"/>
  </mergeCells>
  <phoneticPr fontId="15" type="noConversion"/>
  <pageMargins left="0" right="0" top="0.74791666666666701" bottom="0.74791666666666701"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dimension ref="A1:G62"/>
  <sheetViews>
    <sheetView workbookViewId="0">
      <selection activeCell="G6" sqref="G6"/>
    </sheetView>
  </sheetViews>
  <sheetFormatPr defaultRowHeight="13.5"/>
  <cols>
    <col min="2" max="2" width="33.25" customWidth="1"/>
    <col min="3" max="3" width="13.5" customWidth="1"/>
    <col min="4" max="4" width="14.125" customWidth="1"/>
    <col min="5" max="5" width="14" customWidth="1"/>
    <col min="7" max="7" width="9" style="32"/>
  </cols>
  <sheetData>
    <row r="1" spans="1:7" ht="38.25" customHeight="1">
      <c r="A1" s="101" t="s">
        <v>194</v>
      </c>
      <c r="B1" s="101"/>
      <c r="C1" s="101"/>
      <c r="D1" s="101"/>
      <c r="E1" s="101"/>
    </row>
    <row r="2" spans="1:7" ht="13.5" customHeight="1">
      <c r="A2" s="104" t="s">
        <v>1</v>
      </c>
      <c r="B2" s="105"/>
      <c r="C2" s="105"/>
      <c r="D2" s="105"/>
      <c r="E2" s="105"/>
    </row>
    <row r="3" spans="1:7">
      <c r="A3" s="103" t="s">
        <v>28</v>
      </c>
      <c r="B3" s="103"/>
      <c r="C3" s="103" t="s">
        <v>38</v>
      </c>
      <c r="D3" s="103" t="s">
        <v>142</v>
      </c>
      <c r="E3" s="103" t="s">
        <v>143</v>
      </c>
    </row>
    <row r="4" spans="1:7" ht="13.5" customHeight="1">
      <c r="A4" s="103" t="s">
        <v>35</v>
      </c>
      <c r="B4" s="103" t="s">
        <v>36</v>
      </c>
      <c r="C4" s="103"/>
      <c r="D4" s="103"/>
      <c r="E4" s="103"/>
    </row>
    <row r="5" spans="1:7" ht="27" customHeight="1">
      <c r="A5" s="103"/>
      <c r="B5" s="103"/>
      <c r="C5" s="103"/>
      <c r="D5" s="103"/>
      <c r="E5" s="103"/>
    </row>
    <row r="6" spans="1:7">
      <c r="A6" s="103" t="s">
        <v>37</v>
      </c>
      <c r="B6" s="103"/>
      <c r="C6" s="33">
        <v>1</v>
      </c>
      <c r="D6" s="33">
        <v>2</v>
      </c>
      <c r="E6" s="33">
        <v>3</v>
      </c>
    </row>
    <row r="7" spans="1:7">
      <c r="A7" s="103" t="s">
        <v>38</v>
      </c>
      <c r="B7" s="103"/>
      <c r="C7" s="34">
        <f>600964195.45/10000</f>
        <v>60096.419545000004</v>
      </c>
      <c r="D7" s="34">
        <v>6573.6326790000003</v>
      </c>
      <c r="E7" s="34">
        <v>53522.786866000002</v>
      </c>
    </row>
    <row r="8" spans="1:7" s="2" customFormat="1">
      <c r="A8" s="35" t="s">
        <v>147</v>
      </c>
      <c r="B8" s="35" t="s">
        <v>148</v>
      </c>
      <c r="C8" s="36">
        <f>78403/10000</f>
        <v>7.8403</v>
      </c>
      <c r="D8" s="36">
        <v>0</v>
      </c>
      <c r="E8" s="36">
        <v>7.8403</v>
      </c>
      <c r="G8" s="37"/>
    </row>
    <row r="9" spans="1:7" s="2" customFormat="1">
      <c r="A9" s="35" t="s">
        <v>149</v>
      </c>
      <c r="B9" s="35" t="s">
        <v>150</v>
      </c>
      <c r="C9" s="36">
        <f>78403/10000</f>
        <v>7.8403</v>
      </c>
      <c r="D9" s="36">
        <v>0</v>
      </c>
      <c r="E9" s="36">
        <v>7.8403</v>
      </c>
      <c r="G9" s="37"/>
    </row>
    <row r="10" spans="1:7" s="2" customFormat="1">
      <c r="A10" s="35" t="s">
        <v>151</v>
      </c>
      <c r="B10" s="35" t="s">
        <v>152</v>
      </c>
      <c r="C10" s="36">
        <f>78403/10000</f>
        <v>7.8403</v>
      </c>
      <c r="D10" s="36">
        <v>0</v>
      </c>
      <c r="E10" s="36">
        <v>7.8403</v>
      </c>
      <c r="G10" s="37"/>
    </row>
    <row r="11" spans="1:7" s="2" customFormat="1">
      <c r="A11" s="35" t="s">
        <v>39</v>
      </c>
      <c r="B11" s="35" t="s">
        <v>40</v>
      </c>
      <c r="C11" s="36">
        <f>10770419.37/10000</f>
        <v>1077.041937</v>
      </c>
      <c r="D11" s="36">
        <v>1077.041937</v>
      </c>
      <c r="E11" s="36">
        <v>0</v>
      </c>
      <c r="G11" s="37"/>
    </row>
    <row r="12" spans="1:7" s="2" customFormat="1">
      <c r="A12" s="35" t="s">
        <v>41</v>
      </c>
      <c r="B12" s="35" t="s">
        <v>42</v>
      </c>
      <c r="C12" s="36">
        <f>10770419.37/10000</f>
        <v>1077.041937</v>
      </c>
      <c r="D12" s="36">
        <v>1077.041937</v>
      </c>
      <c r="E12" s="36">
        <v>0</v>
      </c>
      <c r="G12" s="37"/>
    </row>
    <row r="13" spans="1:7" s="2" customFormat="1">
      <c r="A13" s="35" t="s">
        <v>43</v>
      </c>
      <c r="B13" s="35" t="s">
        <v>44</v>
      </c>
      <c r="C13" s="36">
        <f>1581510.9/10000</f>
        <v>158.15108999999998</v>
      </c>
      <c r="D13" s="36">
        <v>158.15109000000001</v>
      </c>
      <c r="E13" s="36">
        <v>0</v>
      </c>
      <c r="G13" s="37"/>
    </row>
    <row r="14" spans="1:7" s="2" customFormat="1">
      <c r="A14" s="35" t="s">
        <v>45</v>
      </c>
      <c r="B14" s="35" t="s">
        <v>46</v>
      </c>
      <c r="C14" s="36">
        <f>2998172.95/10000</f>
        <v>299.817295</v>
      </c>
      <c r="D14" s="36">
        <v>299.817295</v>
      </c>
      <c r="E14" s="36">
        <v>0</v>
      </c>
      <c r="G14" s="37"/>
    </row>
    <row r="15" spans="1:7" s="2" customFormat="1">
      <c r="A15" s="35" t="s">
        <v>47</v>
      </c>
      <c r="B15" s="35" t="s">
        <v>48</v>
      </c>
      <c r="C15" s="36">
        <f>5688285.12/10000</f>
        <v>568.82851200000005</v>
      </c>
      <c r="D15" s="36">
        <v>568.82851200000005</v>
      </c>
      <c r="E15" s="36">
        <v>0</v>
      </c>
      <c r="G15" s="37"/>
    </row>
    <row r="16" spans="1:7" s="2" customFormat="1">
      <c r="A16" s="35" t="s">
        <v>49</v>
      </c>
      <c r="B16" s="35" t="s">
        <v>50</v>
      </c>
      <c r="C16" s="36">
        <f>502450.4/10000</f>
        <v>50.245040000000003</v>
      </c>
      <c r="D16" s="36">
        <v>50.245040000000003</v>
      </c>
      <c r="E16" s="36">
        <v>0</v>
      </c>
      <c r="G16" s="37"/>
    </row>
    <row r="17" spans="1:7" s="2" customFormat="1">
      <c r="A17" s="35" t="s">
        <v>51</v>
      </c>
      <c r="B17" s="35" t="s">
        <v>52</v>
      </c>
      <c r="C17" s="36">
        <f>2725151.25/10000</f>
        <v>272.51512500000001</v>
      </c>
      <c r="D17" s="36">
        <v>272.51512500000001</v>
      </c>
      <c r="E17" s="36">
        <v>0</v>
      </c>
      <c r="G17" s="37"/>
    </row>
    <row r="18" spans="1:7" s="2" customFormat="1">
      <c r="A18" s="35" t="s">
        <v>53</v>
      </c>
      <c r="B18" s="35" t="s">
        <v>54</v>
      </c>
      <c r="C18" s="36">
        <f>2725151.25/10000</f>
        <v>272.51512500000001</v>
      </c>
      <c r="D18" s="36">
        <v>272.51512500000001</v>
      </c>
      <c r="E18" s="36">
        <v>0</v>
      </c>
      <c r="G18" s="37"/>
    </row>
    <row r="19" spans="1:7" s="2" customFormat="1">
      <c r="A19" s="35" t="s">
        <v>55</v>
      </c>
      <c r="B19" s="35" t="s">
        <v>56</v>
      </c>
      <c r="C19" s="36">
        <f>1257523.74/10000</f>
        <v>125.752374</v>
      </c>
      <c r="D19" s="36">
        <v>125.752374</v>
      </c>
      <c r="E19" s="36">
        <v>0</v>
      </c>
      <c r="G19" s="37"/>
    </row>
    <row r="20" spans="1:7" s="2" customFormat="1">
      <c r="A20" s="35" t="s">
        <v>57</v>
      </c>
      <c r="B20" s="35" t="s">
        <v>58</v>
      </c>
      <c r="C20" s="36">
        <f>921188.76/10000</f>
        <v>92.118876</v>
      </c>
      <c r="D20" s="36">
        <v>92.118876</v>
      </c>
      <c r="E20" s="36">
        <v>0</v>
      </c>
      <c r="G20" s="37"/>
    </row>
    <row r="21" spans="1:7" s="2" customFormat="1">
      <c r="A21" s="35" t="s">
        <v>59</v>
      </c>
      <c r="B21" s="35" t="s">
        <v>60</v>
      </c>
      <c r="C21" s="36">
        <f>546294.75/10000</f>
        <v>54.629474999999999</v>
      </c>
      <c r="D21" s="36">
        <v>54.629474999999999</v>
      </c>
      <c r="E21" s="36">
        <v>0</v>
      </c>
      <c r="G21" s="37"/>
    </row>
    <row r="22" spans="1:7" s="2" customFormat="1">
      <c r="A22" s="35" t="s">
        <v>61</v>
      </c>
      <c r="B22" s="35" t="s">
        <v>62</v>
      </c>
      <c r="C22" s="36">
        <f>144/10000</f>
        <v>1.44E-2</v>
      </c>
      <c r="D22" s="36">
        <v>1.44E-2</v>
      </c>
      <c r="E22" s="36">
        <v>0</v>
      </c>
      <c r="G22" s="37"/>
    </row>
    <row r="23" spans="1:7" s="2" customFormat="1">
      <c r="A23" s="35" t="s">
        <v>153</v>
      </c>
      <c r="B23" s="35" t="s">
        <v>154</v>
      </c>
      <c r="C23" s="36">
        <f>1020000/10000</f>
        <v>102</v>
      </c>
      <c r="D23" s="36">
        <v>0</v>
      </c>
      <c r="E23" s="36">
        <v>102</v>
      </c>
      <c r="G23" s="37"/>
    </row>
    <row r="24" spans="1:7" s="2" customFormat="1">
      <c r="A24" s="38" t="s">
        <v>155</v>
      </c>
      <c r="B24" s="39" t="s">
        <v>156</v>
      </c>
      <c r="C24" s="40">
        <f>1020000/10000</f>
        <v>102</v>
      </c>
      <c r="D24" s="40">
        <v>0</v>
      </c>
      <c r="E24" s="40">
        <v>102</v>
      </c>
      <c r="G24" s="37"/>
    </row>
    <row r="25" spans="1:7" s="2" customFormat="1">
      <c r="A25" s="38" t="s">
        <v>157</v>
      </c>
      <c r="B25" s="39" t="s">
        <v>158</v>
      </c>
      <c r="C25" s="40">
        <f>1020000/10000</f>
        <v>102</v>
      </c>
      <c r="D25" s="40">
        <v>0</v>
      </c>
      <c r="E25" s="40">
        <v>102</v>
      </c>
      <c r="G25" s="37"/>
    </row>
    <row r="26" spans="1:7" s="2" customFormat="1">
      <c r="A26" s="38" t="s">
        <v>63</v>
      </c>
      <c r="B26" s="39" t="s">
        <v>64</v>
      </c>
      <c r="C26" s="40">
        <f>337990621.08/10000</f>
        <v>33799.062107999998</v>
      </c>
      <c r="D26" s="40">
        <v>3348.81558</v>
      </c>
      <c r="E26" s="40">
        <v>30450.246528</v>
      </c>
      <c r="G26" s="37"/>
    </row>
    <row r="27" spans="1:7" s="2" customFormat="1">
      <c r="A27" s="38" t="s">
        <v>65</v>
      </c>
      <c r="B27" s="39" t="s">
        <v>66</v>
      </c>
      <c r="C27" s="40">
        <f>56180958.63/10000</f>
        <v>5618.0958630000005</v>
      </c>
      <c r="D27" s="40">
        <v>2307.7523299999998</v>
      </c>
      <c r="E27" s="40">
        <v>3310.3435330000002</v>
      </c>
      <c r="G27" s="37"/>
    </row>
    <row r="28" spans="1:7" s="2" customFormat="1">
      <c r="A28" s="38" t="s">
        <v>67</v>
      </c>
      <c r="B28" s="39" t="s">
        <v>68</v>
      </c>
      <c r="C28" s="40">
        <f>20614993.47/10000</f>
        <v>2061.4993469999999</v>
      </c>
      <c r="D28" s="40">
        <v>2054.1993470000002</v>
      </c>
      <c r="E28" s="40">
        <v>7.3</v>
      </c>
      <c r="G28" s="37"/>
    </row>
    <row r="29" spans="1:7" s="2" customFormat="1">
      <c r="A29" s="38" t="s">
        <v>69</v>
      </c>
      <c r="B29" s="39" t="s">
        <v>70</v>
      </c>
      <c r="C29" s="40">
        <v>175.21656999999999</v>
      </c>
      <c r="D29" s="40">
        <v>0</v>
      </c>
      <c r="E29" s="40">
        <v>175.21656999999999</v>
      </c>
      <c r="G29" s="37"/>
    </row>
    <row r="30" spans="1:7" s="2" customFormat="1">
      <c r="A30" s="38" t="s">
        <v>159</v>
      </c>
      <c r="B30" s="39" t="s">
        <v>160</v>
      </c>
      <c r="C30" s="40">
        <v>2894</v>
      </c>
      <c r="D30" s="40">
        <v>0</v>
      </c>
      <c r="E30" s="40">
        <v>2894</v>
      </c>
      <c r="G30" s="37"/>
    </row>
    <row r="31" spans="1:7" s="2" customFormat="1">
      <c r="A31" s="38" t="s">
        <v>71</v>
      </c>
      <c r="B31" s="39" t="s">
        <v>72</v>
      </c>
      <c r="C31" s="40">
        <v>487.37994600000002</v>
      </c>
      <c r="D31" s="40">
        <v>253.55298300000001</v>
      </c>
      <c r="E31" s="40">
        <v>233.82696300000001</v>
      </c>
      <c r="G31" s="37"/>
    </row>
    <row r="32" spans="1:7" s="2" customFormat="1">
      <c r="A32" s="38" t="s">
        <v>161</v>
      </c>
      <c r="B32" s="39" t="s">
        <v>162</v>
      </c>
      <c r="C32" s="40">
        <v>77.06</v>
      </c>
      <c r="D32" s="40">
        <v>0</v>
      </c>
      <c r="E32" s="40">
        <v>77.06</v>
      </c>
      <c r="G32" s="37"/>
    </row>
    <row r="33" spans="1:7" s="2" customFormat="1">
      <c r="A33" s="38" t="s">
        <v>163</v>
      </c>
      <c r="B33" s="39" t="s">
        <v>164</v>
      </c>
      <c r="C33" s="40">
        <v>77.06</v>
      </c>
      <c r="D33" s="40">
        <v>0</v>
      </c>
      <c r="E33" s="40">
        <v>77.06</v>
      </c>
      <c r="G33" s="37"/>
    </row>
    <row r="34" spans="1:7" s="2" customFormat="1">
      <c r="A34" s="38" t="s">
        <v>73</v>
      </c>
      <c r="B34" s="39" t="s">
        <v>74</v>
      </c>
      <c r="C34" s="40">
        <v>24080.088884000001</v>
      </c>
      <c r="D34" s="40">
        <v>0.23569999999999999</v>
      </c>
      <c r="E34" s="40">
        <v>24079.853184</v>
      </c>
      <c r="G34" s="37"/>
    </row>
    <row r="35" spans="1:7" s="2" customFormat="1">
      <c r="A35" s="38" t="s">
        <v>75</v>
      </c>
      <c r="B35" s="39" t="s">
        <v>76</v>
      </c>
      <c r="C35" s="40">
        <v>24080.088884000001</v>
      </c>
      <c r="D35" s="40">
        <v>0.23569999999999999</v>
      </c>
      <c r="E35" s="40">
        <v>24079.853184</v>
      </c>
      <c r="G35" s="37"/>
    </row>
    <row r="36" spans="1:7" s="2" customFormat="1">
      <c r="A36" s="38" t="s">
        <v>165</v>
      </c>
      <c r="B36" s="39" t="s">
        <v>166</v>
      </c>
      <c r="C36" s="40">
        <v>30</v>
      </c>
      <c r="D36" s="40">
        <v>0</v>
      </c>
      <c r="E36" s="40">
        <v>30</v>
      </c>
      <c r="G36" s="37"/>
    </row>
    <row r="37" spans="1:7" s="2" customFormat="1">
      <c r="A37" s="38" t="s">
        <v>167</v>
      </c>
      <c r="B37" s="39" t="s">
        <v>168</v>
      </c>
      <c r="C37" s="40">
        <v>30</v>
      </c>
      <c r="D37" s="40">
        <v>0</v>
      </c>
      <c r="E37" s="40">
        <v>30</v>
      </c>
      <c r="G37" s="37"/>
    </row>
    <row r="38" spans="1:7" s="2" customFormat="1">
      <c r="A38" s="38" t="s">
        <v>77</v>
      </c>
      <c r="B38" s="39" t="s">
        <v>78</v>
      </c>
      <c r="C38" s="40">
        <v>3346.088561</v>
      </c>
      <c r="D38" s="40">
        <v>1040.82755</v>
      </c>
      <c r="E38" s="40">
        <v>2305.2610110000001</v>
      </c>
      <c r="G38" s="37"/>
    </row>
    <row r="39" spans="1:7" s="2" customFormat="1">
      <c r="A39" s="38" t="s">
        <v>79</v>
      </c>
      <c r="B39" s="39" t="s">
        <v>80</v>
      </c>
      <c r="C39" s="40">
        <v>3346.088561</v>
      </c>
      <c r="D39" s="40">
        <v>1040.82755</v>
      </c>
      <c r="E39" s="40">
        <v>2305.2610110000001</v>
      </c>
      <c r="G39" s="37"/>
    </row>
    <row r="40" spans="1:7" s="2" customFormat="1">
      <c r="A40" s="38" t="s">
        <v>99</v>
      </c>
      <c r="B40" s="39" t="s">
        <v>100</v>
      </c>
      <c r="C40" s="40">
        <v>647.72879999999998</v>
      </c>
      <c r="D40" s="40">
        <v>0</v>
      </c>
      <c r="E40" s="40">
        <v>647.72879999999998</v>
      </c>
      <c r="G40" s="37"/>
    </row>
    <row r="41" spans="1:7" s="2" customFormat="1">
      <c r="A41" s="38" t="s">
        <v>101</v>
      </c>
      <c r="B41" s="39" t="s">
        <v>102</v>
      </c>
      <c r="C41" s="40">
        <v>647.72879999999998</v>
      </c>
      <c r="D41" s="40">
        <v>0</v>
      </c>
      <c r="E41" s="40">
        <v>647.72879999999998</v>
      </c>
      <c r="G41" s="37"/>
    </row>
    <row r="42" spans="1:7" s="2" customFormat="1">
      <c r="A42" s="38" t="s">
        <v>103</v>
      </c>
      <c r="B42" s="39" t="s">
        <v>104</v>
      </c>
      <c r="C42" s="40">
        <v>1110</v>
      </c>
      <c r="D42" s="40">
        <v>0</v>
      </c>
      <c r="E42" s="40">
        <v>1110</v>
      </c>
      <c r="G42" s="37"/>
    </row>
    <row r="43" spans="1:7" s="2" customFormat="1">
      <c r="A43" s="38" t="s">
        <v>105</v>
      </c>
      <c r="B43" s="39" t="s">
        <v>106</v>
      </c>
      <c r="C43" s="40">
        <v>1110</v>
      </c>
      <c r="D43" s="40">
        <v>0</v>
      </c>
      <c r="E43" s="40">
        <v>1110</v>
      </c>
      <c r="G43" s="37"/>
    </row>
    <row r="44" spans="1:7" s="2" customFormat="1">
      <c r="A44" s="38" t="s">
        <v>107</v>
      </c>
      <c r="B44" s="39" t="s">
        <v>108</v>
      </c>
      <c r="C44" s="40">
        <v>1110</v>
      </c>
      <c r="D44" s="40">
        <v>0</v>
      </c>
      <c r="E44" s="40">
        <v>1110</v>
      </c>
      <c r="G44" s="37"/>
    </row>
    <row r="45" spans="1:7" s="2" customFormat="1">
      <c r="A45" s="38" t="s">
        <v>169</v>
      </c>
      <c r="B45" s="39" t="s">
        <v>170</v>
      </c>
      <c r="C45" s="40">
        <v>325</v>
      </c>
      <c r="D45" s="40">
        <v>0</v>
      </c>
      <c r="E45" s="40">
        <v>325</v>
      </c>
      <c r="G45" s="37"/>
    </row>
    <row r="46" spans="1:7" s="2" customFormat="1">
      <c r="A46" s="38" t="s">
        <v>171</v>
      </c>
      <c r="B46" s="39" t="s">
        <v>172</v>
      </c>
      <c r="C46" s="40">
        <v>325</v>
      </c>
      <c r="D46" s="40">
        <v>0</v>
      </c>
      <c r="E46" s="40">
        <v>325</v>
      </c>
      <c r="G46" s="37"/>
    </row>
    <row r="47" spans="1:7" s="2" customFormat="1">
      <c r="A47" s="38" t="s">
        <v>173</v>
      </c>
      <c r="B47" s="39" t="s">
        <v>174</v>
      </c>
      <c r="C47" s="40">
        <v>325</v>
      </c>
      <c r="D47" s="40">
        <v>0</v>
      </c>
      <c r="E47" s="40">
        <v>325</v>
      </c>
      <c r="G47" s="37"/>
    </row>
    <row r="48" spans="1:7" s="2" customFormat="1">
      <c r="A48" s="38" t="s">
        <v>109</v>
      </c>
      <c r="B48" s="39" t="s">
        <v>110</v>
      </c>
      <c r="C48" s="40">
        <v>23402.960074999999</v>
      </c>
      <c r="D48" s="40">
        <v>1875.260037</v>
      </c>
      <c r="E48" s="40">
        <v>21527.700037999999</v>
      </c>
      <c r="G48" s="37"/>
    </row>
    <row r="49" spans="1:7" s="2" customFormat="1">
      <c r="A49" s="38" t="s">
        <v>111</v>
      </c>
      <c r="B49" s="39" t="s">
        <v>112</v>
      </c>
      <c r="C49" s="40">
        <v>21527.700037999999</v>
      </c>
      <c r="D49" s="40">
        <v>0</v>
      </c>
      <c r="E49" s="40">
        <v>21527.700037999999</v>
      </c>
      <c r="G49" s="37"/>
    </row>
    <row r="50" spans="1:7" s="2" customFormat="1">
      <c r="A50" s="38" t="s">
        <v>113</v>
      </c>
      <c r="B50" s="39" t="s">
        <v>114</v>
      </c>
      <c r="C50" s="40">
        <v>19011.281790000001</v>
      </c>
      <c r="D50" s="40">
        <v>0</v>
      </c>
      <c r="E50" s="40">
        <v>19011.281790000001</v>
      </c>
      <c r="G50" s="37"/>
    </row>
    <row r="51" spans="1:7" s="2" customFormat="1">
      <c r="A51" s="38" t="s">
        <v>175</v>
      </c>
      <c r="B51" s="39" t="s">
        <v>176</v>
      </c>
      <c r="C51" s="40">
        <v>12</v>
      </c>
      <c r="D51" s="40">
        <v>0</v>
      </c>
      <c r="E51" s="40">
        <v>12</v>
      </c>
      <c r="G51" s="37"/>
    </row>
    <row r="52" spans="1:7" s="2" customFormat="1">
      <c r="A52" s="38" t="s">
        <v>115</v>
      </c>
      <c r="B52" s="39" t="s">
        <v>116</v>
      </c>
      <c r="C52" s="40">
        <v>1099.4475379999999</v>
      </c>
      <c r="D52" s="40">
        <v>0</v>
      </c>
      <c r="E52" s="40">
        <v>1099.4475379999999</v>
      </c>
      <c r="G52" s="37"/>
    </row>
    <row r="53" spans="1:7" s="2" customFormat="1">
      <c r="A53" s="38" t="s">
        <v>117</v>
      </c>
      <c r="B53" s="39" t="s">
        <v>118</v>
      </c>
      <c r="C53" s="40">
        <v>1404.9707100000001</v>
      </c>
      <c r="D53" s="40">
        <v>0</v>
      </c>
      <c r="E53" s="40">
        <v>1404.9707100000001</v>
      </c>
      <c r="G53" s="37"/>
    </row>
    <row r="54" spans="1:7" s="2" customFormat="1">
      <c r="A54" s="38" t="s">
        <v>119</v>
      </c>
      <c r="B54" s="39" t="s">
        <v>120</v>
      </c>
      <c r="C54" s="40">
        <v>390.30605000000003</v>
      </c>
      <c r="D54" s="40">
        <v>390.30605000000003</v>
      </c>
      <c r="E54" s="40">
        <v>0</v>
      </c>
      <c r="G54" s="37"/>
    </row>
    <row r="55" spans="1:7" s="2" customFormat="1">
      <c r="A55" s="38" t="s">
        <v>121</v>
      </c>
      <c r="B55" s="39" t="s">
        <v>122</v>
      </c>
      <c r="C55" s="40">
        <v>383.24738000000002</v>
      </c>
      <c r="D55" s="40">
        <v>383.24738000000002</v>
      </c>
      <c r="E55" s="40">
        <v>0</v>
      </c>
      <c r="G55" s="37"/>
    </row>
    <row r="56" spans="1:7" s="2" customFormat="1">
      <c r="A56" s="38" t="s">
        <v>123</v>
      </c>
      <c r="B56" s="39" t="s">
        <v>124</v>
      </c>
      <c r="C56" s="40">
        <v>7.0586700000000002</v>
      </c>
      <c r="D56" s="40">
        <v>7.0586700000000002</v>
      </c>
      <c r="E56" s="40">
        <v>0</v>
      </c>
      <c r="G56" s="37"/>
    </row>
    <row r="57" spans="1:7" s="2" customFormat="1">
      <c r="A57" s="38" t="s">
        <v>125</v>
      </c>
      <c r="B57" s="39" t="s">
        <v>126</v>
      </c>
      <c r="C57" s="40">
        <v>1484.9539870000001</v>
      </c>
      <c r="D57" s="40">
        <v>1484.9539870000001</v>
      </c>
      <c r="E57" s="40">
        <v>0</v>
      </c>
      <c r="G57" s="37"/>
    </row>
    <row r="58" spans="1:7" s="2" customFormat="1">
      <c r="A58" s="38" t="s">
        <v>127</v>
      </c>
      <c r="B58" s="39" t="s">
        <v>128</v>
      </c>
      <c r="C58" s="40">
        <v>1362.761166</v>
      </c>
      <c r="D58" s="40">
        <v>1362.761166</v>
      </c>
      <c r="E58" s="40">
        <v>0</v>
      </c>
      <c r="G58" s="37"/>
    </row>
    <row r="59" spans="1:7" s="2" customFormat="1">
      <c r="A59" s="41" t="s">
        <v>129</v>
      </c>
      <c r="B59" s="42" t="s">
        <v>130</v>
      </c>
      <c r="C59" s="43">
        <v>122.192821</v>
      </c>
      <c r="D59" s="43">
        <v>122.192821</v>
      </c>
      <c r="E59" s="43">
        <v>0</v>
      </c>
      <c r="G59" s="37"/>
    </row>
    <row r="60" spans="1:7">
      <c r="A60" s="87" t="s">
        <v>195</v>
      </c>
      <c r="B60" s="87"/>
      <c r="C60" s="87"/>
      <c r="D60" s="87"/>
      <c r="E60" s="87"/>
    </row>
    <row r="61" spans="1:7" ht="15">
      <c r="A61" s="44"/>
      <c r="B61" s="44"/>
      <c r="C61" s="45"/>
      <c r="D61" s="44"/>
      <c r="E61" s="44"/>
    </row>
    <row r="62" spans="1:7">
      <c r="A62" s="46"/>
      <c r="B62" s="46"/>
      <c r="C62" s="46"/>
      <c r="D62" s="46"/>
      <c r="E62" s="46"/>
    </row>
  </sheetData>
  <mergeCells count="11">
    <mergeCell ref="A1:E1"/>
    <mergeCell ref="A2:E2"/>
    <mergeCell ref="A3:B3"/>
    <mergeCell ref="A6:B6"/>
    <mergeCell ref="A60:E60"/>
    <mergeCell ref="A4:A5"/>
    <mergeCell ref="B4:B5"/>
    <mergeCell ref="C3:C5"/>
    <mergeCell ref="D3:D5"/>
    <mergeCell ref="E3:E5"/>
    <mergeCell ref="A7:B7"/>
  </mergeCells>
  <phoneticPr fontId="15" type="noConversion"/>
  <pageMargins left="0.70763888888888904" right="0.70763888888888904" top="0.74791666666666701" bottom="0.74791666666666701" header="0.31388888888888899" footer="0.31388888888888899"/>
  <pageSetup paperSize="9" orientation="portrait"/>
</worksheet>
</file>

<file path=xl/worksheets/sheet6.xml><?xml version="1.0" encoding="utf-8"?>
<worksheet xmlns="http://schemas.openxmlformats.org/spreadsheetml/2006/main" xmlns:r="http://schemas.openxmlformats.org/officeDocument/2006/relationships">
  <dimension ref="A1:G38"/>
  <sheetViews>
    <sheetView workbookViewId="0">
      <selection activeCell="K11" sqref="K11"/>
    </sheetView>
  </sheetViews>
  <sheetFormatPr defaultColWidth="9" defaultRowHeight="13.5"/>
  <cols>
    <col min="1" max="1" width="12.5" style="24" customWidth="1"/>
    <col min="2" max="2" width="21.875" customWidth="1"/>
    <col min="3" max="3" width="13" customWidth="1"/>
    <col min="4" max="4" width="13.25" style="24" customWidth="1"/>
    <col min="5" max="5" width="16.125" style="25" customWidth="1"/>
    <col min="6" max="6" width="14.25" customWidth="1"/>
  </cols>
  <sheetData>
    <row r="1" spans="1:6" ht="29.25" customHeight="1">
      <c r="A1" s="106" t="s">
        <v>196</v>
      </c>
      <c r="B1" s="106"/>
      <c r="C1" s="106"/>
      <c r="D1" s="106"/>
      <c r="E1" s="106"/>
      <c r="F1" s="106"/>
    </row>
    <row r="2" spans="1:6" ht="14.25">
      <c r="A2" s="107" t="s">
        <v>1</v>
      </c>
      <c r="B2" s="107"/>
      <c r="C2" s="107"/>
      <c r="D2" s="107"/>
      <c r="E2" s="107"/>
      <c r="F2" s="107"/>
    </row>
    <row r="3" spans="1:6" ht="22.5" customHeight="1">
      <c r="A3" s="108" t="s">
        <v>197</v>
      </c>
      <c r="B3" s="109"/>
      <c r="C3" s="110"/>
      <c r="D3" s="108" t="s">
        <v>198</v>
      </c>
      <c r="E3" s="109"/>
      <c r="F3" s="110"/>
    </row>
    <row r="4" spans="1:6" ht="27">
      <c r="A4" s="27" t="s">
        <v>199</v>
      </c>
      <c r="B4" s="28" t="s">
        <v>36</v>
      </c>
      <c r="C4" s="28" t="s">
        <v>183</v>
      </c>
      <c r="D4" s="27" t="s">
        <v>199</v>
      </c>
      <c r="E4" s="28" t="s">
        <v>36</v>
      </c>
      <c r="F4" s="28" t="s">
        <v>183</v>
      </c>
    </row>
    <row r="5" spans="1:6" ht="15.75" customHeight="1">
      <c r="A5" s="29">
        <v>301</v>
      </c>
      <c r="B5" s="30" t="s">
        <v>200</v>
      </c>
      <c r="C5" s="8">
        <v>4788.9588309999999</v>
      </c>
      <c r="D5" s="29">
        <v>302</v>
      </c>
      <c r="E5" s="30" t="s">
        <v>201</v>
      </c>
      <c r="F5" s="5">
        <v>1199.924407</v>
      </c>
    </row>
    <row r="6" spans="1:6">
      <c r="A6" s="29">
        <v>30101</v>
      </c>
      <c r="B6" s="28" t="s">
        <v>202</v>
      </c>
      <c r="C6" s="5">
        <v>1232.024412</v>
      </c>
      <c r="D6" s="29">
        <v>30201</v>
      </c>
      <c r="E6" s="28" t="s">
        <v>203</v>
      </c>
      <c r="F6" s="5">
        <v>77.500230000000002</v>
      </c>
    </row>
    <row r="7" spans="1:6">
      <c r="A7" s="29">
        <v>30102</v>
      </c>
      <c r="B7" s="28" t="s">
        <v>204</v>
      </c>
      <c r="C7" s="5">
        <v>536.93209999999999</v>
      </c>
      <c r="D7" s="29">
        <v>30202</v>
      </c>
      <c r="E7" s="28" t="s">
        <v>205</v>
      </c>
      <c r="F7" s="5">
        <v>9.4144199999999998</v>
      </c>
    </row>
    <row r="8" spans="1:6" ht="15">
      <c r="A8" s="29">
        <v>30103</v>
      </c>
      <c r="B8" s="28" t="s">
        <v>206</v>
      </c>
      <c r="C8" s="5">
        <v>556.71974999999998</v>
      </c>
      <c r="D8" s="29">
        <v>30203</v>
      </c>
      <c r="E8" s="28" t="s">
        <v>207</v>
      </c>
      <c r="F8" s="5">
        <v>0.2</v>
      </c>
    </row>
    <row r="9" spans="1:6" ht="30.75" customHeight="1">
      <c r="A9" s="29">
        <v>30106</v>
      </c>
      <c r="B9" s="28" t="s">
        <v>208</v>
      </c>
      <c r="C9" s="5">
        <v>21.643999999999998</v>
      </c>
      <c r="D9" s="29">
        <v>30204</v>
      </c>
      <c r="E9" s="28" t="s">
        <v>209</v>
      </c>
      <c r="F9" s="5">
        <v>2.193489</v>
      </c>
    </row>
    <row r="10" spans="1:6">
      <c r="A10" s="29">
        <v>30107</v>
      </c>
      <c r="B10" s="28" t="s">
        <v>210</v>
      </c>
      <c r="C10" s="5">
        <v>920.79459599999996</v>
      </c>
      <c r="D10" s="29">
        <v>30205</v>
      </c>
      <c r="E10" s="28" t="s">
        <v>211</v>
      </c>
      <c r="F10" s="5">
        <v>4.2561289999999996</v>
      </c>
    </row>
    <row r="11" spans="1:6" ht="27">
      <c r="A11" s="29">
        <v>30108</v>
      </c>
      <c r="B11" s="28" t="s">
        <v>212</v>
      </c>
      <c r="C11" s="5">
        <v>570.68181200000004</v>
      </c>
      <c r="D11" s="29">
        <v>30206</v>
      </c>
      <c r="E11" s="28" t="s">
        <v>213</v>
      </c>
      <c r="F11" s="5">
        <v>30.958072999999999</v>
      </c>
    </row>
    <row r="12" spans="1:6">
      <c r="A12" s="29">
        <v>30109</v>
      </c>
      <c r="B12" s="28" t="s">
        <v>214</v>
      </c>
      <c r="C12" s="5">
        <v>60.196389000000003</v>
      </c>
      <c r="D12" s="29">
        <v>30207</v>
      </c>
      <c r="E12" s="28" t="s">
        <v>215</v>
      </c>
      <c r="F12" s="5">
        <v>46.216662999999997</v>
      </c>
    </row>
    <row r="13" spans="1:6" ht="15.75" customHeight="1">
      <c r="A13" s="29">
        <v>30199</v>
      </c>
      <c r="B13" s="28" t="s">
        <v>216</v>
      </c>
      <c r="C13" s="5">
        <v>195.43527599999999</v>
      </c>
      <c r="D13" s="29">
        <v>30209</v>
      </c>
      <c r="E13" s="28" t="s">
        <v>217</v>
      </c>
      <c r="F13" s="5">
        <v>28.916737000000001</v>
      </c>
    </row>
    <row r="14" spans="1:6" ht="30.75" customHeight="1">
      <c r="A14" s="29">
        <v>30110</v>
      </c>
      <c r="B14" s="28" t="s">
        <v>218</v>
      </c>
      <c r="C14" s="5">
        <v>216.324095</v>
      </c>
      <c r="D14" s="29">
        <v>30211</v>
      </c>
      <c r="E14" s="28" t="s">
        <v>219</v>
      </c>
      <c r="F14" s="5">
        <v>56.440738000000003</v>
      </c>
    </row>
    <row r="15" spans="1:6" ht="27.75" customHeight="1">
      <c r="A15" s="29">
        <v>30111</v>
      </c>
      <c r="B15" s="28" t="s">
        <v>220</v>
      </c>
      <c r="C15" s="5">
        <v>61.663007999999998</v>
      </c>
      <c r="D15" s="29">
        <v>30212</v>
      </c>
      <c r="E15" s="28" t="s">
        <v>221</v>
      </c>
      <c r="F15" s="5">
        <v>7.3</v>
      </c>
    </row>
    <row r="16" spans="1:6" ht="27.75" customHeight="1">
      <c r="A16" s="29">
        <v>30112</v>
      </c>
      <c r="B16" s="28" t="s">
        <v>222</v>
      </c>
      <c r="C16" s="5">
        <v>27.012504</v>
      </c>
      <c r="D16" s="29">
        <v>30215</v>
      </c>
      <c r="E16" s="28" t="s">
        <v>223</v>
      </c>
      <c r="F16" s="5">
        <v>2.1744400000000002</v>
      </c>
    </row>
    <row r="17" spans="1:6" ht="27.75" customHeight="1">
      <c r="A17" s="29">
        <v>30113</v>
      </c>
      <c r="B17" s="28" t="s">
        <v>224</v>
      </c>
      <c r="C17" s="5">
        <v>389.530889</v>
      </c>
      <c r="D17" s="29">
        <v>30213</v>
      </c>
      <c r="E17" s="28" t="s">
        <v>225</v>
      </c>
      <c r="F17" s="5">
        <v>440.888216</v>
      </c>
    </row>
    <row r="18" spans="1:6" ht="15.75" customHeight="1">
      <c r="A18" s="29">
        <v>303</v>
      </c>
      <c r="B18" s="30" t="s">
        <v>226</v>
      </c>
      <c r="C18" s="5">
        <v>511.05574100000001</v>
      </c>
      <c r="D18" s="29">
        <v>30214</v>
      </c>
      <c r="E18" s="28" t="s">
        <v>227</v>
      </c>
      <c r="F18" s="5">
        <v>7.3906000000000001</v>
      </c>
    </row>
    <row r="19" spans="1:6">
      <c r="A19" s="29">
        <v>30302</v>
      </c>
      <c r="B19" s="28" t="s">
        <v>228</v>
      </c>
      <c r="C19" s="5">
        <v>101.69614</v>
      </c>
      <c r="D19" s="29">
        <v>30216</v>
      </c>
      <c r="E19" s="28" t="s">
        <v>229</v>
      </c>
      <c r="F19" s="5">
        <v>13.5457</v>
      </c>
    </row>
    <row r="20" spans="1:6">
      <c r="A20" s="29">
        <v>30304</v>
      </c>
      <c r="B20" s="28" t="s">
        <v>230</v>
      </c>
      <c r="C20" s="5">
        <v>109.39897499999999</v>
      </c>
      <c r="D20" s="29">
        <v>30217</v>
      </c>
      <c r="E20" s="28" t="s">
        <v>231</v>
      </c>
      <c r="F20" s="5">
        <v>4.6053100000000002</v>
      </c>
    </row>
    <row r="21" spans="1:6" ht="15.75" customHeight="1">
      <c r="A21" s="29">
        <v>30305</v>
      </c>
      <c r="B21" s="28" t="s">
        <v>232</v>
      </c>
      <c r="C21" s="5">
        <v>265.532805</v>
      </c>
      <c r="D21" s="29">
        <v>30225</v>
      </c>
      <c r="E21" s="28" t="s">
        <v>233</v>
      </c>
      <c r="F21" s="5">
        <v>1.7500000000000002E-2</v>
      </c>
    </row>
    <row r="22" spans="1:6" ht="15.75" customHeight="1">
      <c r="A22" s="29">
        <v>30309</v>
      </c>
      <c r="B22" s="28" t="s">
        <v>234</v>
      </c>
      <c r="C22" s="5">
        <v>11.662559999999999</v>
      </c>
      <c r="D22" s="29">
        <v>30226</v>
      </c>
      <c r="E22" s="28" t="s">
        <v>235</v>
      </c>
      <c r="F22" s="5">
        <v>2.5760000000000001</v>
      </c>
    </row>
    <row r="23" spans="1:6" ht="27">
      <c r="A23" s="29">
        <v>30399</v>
      </c>
      <c r="B23" s="28" t="s">
        <v>236</v>
      </c>
      <c r="C23" s="5">
        <v>22.765260999999999</v>
      </c>
      <c r="D23" s="29">
        <v>30227</v>
      </c>
      <c r="E23" s="28" t="s">
        <v>237</v>
      </c>
      <c r="F23" s="5">
        <v>15.524502</v>
      </c>
    </row>
    <row r="24" spans="1:6" ht="15.75" customHeight="1">
      <c r="A24" s="27"/>
      <c r="B24" s="28"/>
      <c r="C24" s="5"/>
      <c r="D24" s="29">
        <v>30228</v>
      </c>
      <c r="E24" s="28" t="s">
        <v>238</v>
      </c>
      <c r="F24" s="5">
        <v>58.871335999999999</v>
      </c>
    </row>
    <row r="25" spans="1:6">
      <c r="A25" s="27"/>
      <c r="B25" s="28"/>
      <c r="C25" s="5"/>
      <c r="D25" s="29">
        <v>30229</v>
      </c>
      <c r="E25" s="28" t="s">
        <v>239</v>
      </c>
      <c r="F25" s="5">
        <v>22.605225000000001</v>
      </c>
    </row>
    <row r="26" spans="1:6" ht="27">
      <c r="A26" s="27"/>
      <c r="B26" s="28"/>
      <c r="C26" s="5"/>
      <c r="D26" s="29">
        <v>30231</v>
      </c>
      <c r="E26" s="28" t="s">
        <v>240</v>
      </c>
      <c r="F26" s="5">
        <v>27.125143999999999</v>
      </c>
    </row>
    <row r="27" spans="1:6" ht="15.75" customHeight="1">
      <c r="A27" s="27"/>
      <c r="B27" s="28"/>
      <c r="C27" s="5"/>
      <c r="D27" s="29">
        <v>30239</v>
      </c>
      <c r="E27" s="28" t="s">
        <v>241</v>
      </c>
      <c r="F27" s="5">
        <v>152.554</v>
      </c>
    </row>
    <row r="28" spans="1:6" ht="15.75" customHeight="1">
      <c r="A28" s="27"/>
      <c r="B28" s="28"/>
      <c r="C28" s="5"/>
      <c r="D28" s="29">
        <v>30240</v>
      </c>
      <c r="E28" s="28" t="s">
        <v>242</v>
      </c>
      <c r="F28" s="5">
        <v>7.1142219999999998</v>
      </c>
    </row>
    <row r="29" spans="1:6" ht="30" customHeight="1">
      <c r="A29" s="27"/>
      <c r="B29" s="28"/>
      <c r="C29" s="5"/>
      <c r="D29" s="29">
        <v>30299</v>
      </c>
      <c r="E29" s="28" t="s">
        <v>243</v>
      </c>
      <c r="F29" s="5">
        <v>181.53573299999999</v>
      </c>
    </row>
    <row r="30" spans="1:6" ht="15.75" customHeight="1">
      <c r="A30" s="27"/>
      <c r="B30" s="28"/>
      <c r="C30" s="5"/>
      <c r="D30" s="29">
        <v>310</v>
      </c>
      <c r="E30" s="30" t="s">
        <v>244</v>
      </c>
      <c r="F30" s="5">
        <v>30.577100000000002</v>
      </c>
    </row>
    <row r="31" spans="1:6" ht="15" customHeight="1">
      <c r="A31" s="27"/>
      <c r="B31" s="28"/>
      <c r="C31" s="5"/>
      <c r="D31" s="29">
        <v>31002</v>
      </c>
      <c r="E31" s="30" t="s">
        <v>245</v>
      </c>
      <c r="F31" s="5">
        <v>24.198399999999999</v>
      </c>
    </row>
    <row r="32" spans="1:6" ht="15" customHeight="1">
      <c r="A32" s="27"/>
      <c r="B32" s="28"/>
      <c r="C32" s="5"/>
      <c r="D32" s="29">
        <v>31007</v>
      </c>
      <c r="E32" s="30" t="s">
        <v>246</v>
      </c>
      <c r="F32" s="5">
        <v>6.3787000000000003</v>
      </c>
    </row>
    <row r="33" spans="1:7" ht="32.25" customHeight="1">
      <c r="A33" s="27"/>
      <c r="B33" s="28"/>
      <c r="C33" s="5"/>
      <c r="D33" s="29">
        <v>39999</v>
      </c>
      <c r="E33" s="30" t="s">
        <v>132</v>
      </c>
      <c r="F33" s="5">
        <v>43.116599999999998</v>
      </c>
    </row>
    <row r="34" spans="1:7" ht="15.75" customHeight="1">
      <c r="A34" s="26" t="s">
        <v>247</v>
      </c>
      <c r="B34" s="26"/>
      <c r="C34" s="5">
        <f>C5+C18</f>
        <v>5300.014572</v>
      </c>
      <c r="D34" s="26" t="s">
        <v>248</v>
      </c>
      <c r="E34" s="26"/>
      <c r="F34" s="5">
        <f>F5+F30+F33</f>
        <v>1273.618107</v>
      </c>
    </row>
    <row r="35" spans="1:7" ht="15.75" customHeight="1">
      <c r="A35" s="9" t="s">
        <v>249</v>
      </c>
      <c r="B35" s="9"/>
      <c r="C35" s="9"/>
      <c r="D35" s="9"/>
      <c r="E35" s="31"/>
      <c r="F35" s="9"/>
    </row>
    <row r="36" spans="1:7">
      <c r="G36" s="9"/>
    </row>
    <row r="38" spans="1:7">
      <c r="F38" s="12"/>
    </row>
  </sheetData>
  <mergeCells count="4">
    <mergeCell ref="A1:F1"/>
    <mergeCell ref="A2:F2"/>
    <mergeCell ref="A3:C3"/>
    <mergeCell ref="D3:F3"/>
  </mergeCells>
  <phoneticPr fontId="15" type="noConversion"/>
  <pageMargins left="0.69930555555555596" right="0.69930555555555596"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L12"/>
  <sheetViews>
    <sheetView workbookViewId="0">
      <selection activeCell="I10" sqref="I10"/>
    </sheetView>
  </sheetViews>
  <sheetFormatPr defaultColWidth="9" defaultRowHeight="13.5"/>
  <cols>
    <col min="7" max="8" width="10.25" customWidth="1"/>
    <col min="9" max="9" width="10.125" customWidth="1"/>
    <col min="11" max="11" width="10.5" customWidth="1"/>
    <col min="12" max="12" width="10" customWidth="1"/>
  </cols>
  <sheetData>
    <row r="1" spans="1:12" ht="24">
      <c r="A1" s="114" t="s">
        <v>250</v>
      </c>
      <c r="B1" s="114"/>
      <c r="C1" s="114"/>
      <c r="D1" s="114"/>
      <c r="E1" s="114"/>
      <c r="F1" s="114"/>
      <c r="G1" s="114"/>
      <c r="H1" s="114"/>
      <c r="I1" s="114"/>
      <c r="J1" s="114"/>
      <c r="K1" s="114"/>
      <c r="L1" s="114"/>
    </row>
    <row r="2" spans="1:12" ht="14.25">
      <c r="A2" s="115" t="s">
        <v>1</v>
      </c>
      <c r="B2" s="115"/>
      <c r="C2" s="115"/>
      <c r="D2" s="115"/>
      <c r="E2" s="115"/>
      <c r="F2" s="115"/>
      <c r="G2" s="115"/>
      <c r="H2" s="115"/>
      <c r="I2" s="115"/>
      <c r="J2" s="115"/>
      <c r="K2" s="115"/>
      <c r="L2" s="115"/>
    </row>
    <row r="3" spans="1:12">
      <c r="A3" s="116" t="s">
        <v>251</v>
      </c>
      <c r="B3" s="117"/>
      <c r="C3" s="116"/>
      <c r="D3" s="116"/>
      <c r="E3" s="116"/>
      <c r="F3" s="117"/>
      <c r="G3" s="116" t="s">
        <v>252</v>
      </c>
      <c r="H3" s="117"/>
      <c r="I3" s="116"/>
      <c r="J3" s="116"/>
      <c r="K3" s="116"/>
      <c r="L3" s="117"/>
    </row>
    <row r="4" spans="1:12">
      <c r="A4" s="112" t="s">
        <v>38</v>
      </c>
      <c r="B4" s="15" t="s">
        <v>253</v>
      </c>
      <c r="C4" s="118" t="s">
        <v>254</v>
      </c>
      <c r="D4" s="116"/>
      <c r="E4" s="112"/>
      <c r="F4" s="15" t="s">
        <v>255</v>
      </c>
      <c r="G4" s="113" t="s">
        <v>38</v>
      </c>
      <c r="H4" s="15" t="s">
        <v>253</v>
      </c>
      <c r="I4" s="118" t="s">
        <v>254</v>
      </c>
      <c r="J4" s="116"/>
      <c r="K4" s="112"/>
      <c r="L4" s="15" t="s">
        <v>255</v>
      </c>
    </row>
    <row r="5" spans="1:12" ht="27">
      <c r="A5" s="112"/>
      <c r="B5" s="18" t="s">
        <v>256</v>
      </c>
      <c r="C5" s="17" t="s">
        <v>257</v>
      </c>
      <c r="D5" s="14" t="s">
        <v>258</v>
      </c>
      <c r="E5" s="16" t="s">
        <v>259</v>
      </c>
      <c r="F5" s="18" t="s">
        <v>260</v>
      </c>
      <c r="G5" s="113"/>
      <c r="H5" s="18" t="s">
        <v>256</v>
      </c>
      <c r="I5" s="17" t="s">
        <v>257</v>
      </c>
      <c r="J5" s="14" t="s">
        <v>258</v>
      </c>
      <c r="K5" s="16" t="s">
        <v>259</v>
      </c>
      <c r="L5" s="18" t="s">
        <v>260</v>
      </c>
    </row>
    <row r="6" spans="1:12">
      <c r="A6" s="19">
        <v>1</v>
      </c>
      <c r="B6" s="20">
        <v>2</v>
      </c>
      <c r="C6" s="19">
        <v>3</v>
      </c>
      <c r="D6" s="19">
        <v>4</v>
      </c>
      <c r="E6" s="19">
        <v>5</v>
      </c>
      <c r="F6" s="20">
        <v>6</v>
      </c>
      <c r="G6" s="19">
        <v>7</v>
      </c>
      <c r="H6" s="20">
        <v>8</v>
      </c>
      <c r="I6" s="19">
        <v>9</v>
      </c>
      <c r="J6" s="19">
        <v>10</v>
      </c>
      <c r="K6" s="19">
        <v>11</v>
      </c>
      <c r="L6" s="20">
        <v>12</v>
      </c>
    </row>
    <row r="7" spans="1:12" ht="15">
      <c r="A7" s="21">
        <f>B7+C7+F7</f>
        <v>60.18</v>
      </c>
      <c r="B7" s="21">
        <v>0</v>
      </c>
      <c r="C7" s="21">
        <v>42</v>
      </c>
      <c r="D7" s="21">
        <v>0</v>
      </c>
      <c r="E7" s="21">
        <v>42</v>
      </c>
      <c r="F7" s="21">
        <v>18.18</v>
      </c>
      <c r="G7" s="22">
        <v>67.529984999999996</v>
      </c>
      <c r="H7" s="22">
        <v>19.75</v>
      </c>
      <c r="I7" s="22">
        <v>41.025275000000001</v>
      </c>
      <c r="J7" s="22">
        <v>0</v>
      </c>
      <c r="K7" s="22">
        <v>41.025275000000001</v>
      </c>
      <c r="L7" s="22">
        <v>6.7547100000000002</v>
      </c>
    </row>
    <row r="8" spans="1:12" ht="30" customHeight="1">
      <c r="A8" s="111" t="s">
        <v>261</v>
      </c>
      <c r="B8" s="111"/>
      <c r="C8" s="111"/>
      <c r="D8" s="111"/>
      <c r="E8" s="111"/>
      <c r="F8" s="111"/>
      <c r="G8" s="111"/>
      <c r="H8" s="111"/>
      <c r="I8" s="111"/>
      <c r="J8" s="111"/>
      <c r="K8" s="111"/>
      <c r="L8" s="111"/>
    </row>
    <row r="12" spans="1:12" ht="15">
      <c r="H12" s="23"/>
    </row>
  </sheetData>
  <mergeCells count="9">
    <mergeCell ref="A8:L8"/>
    <mergeCell ref="A4:A5"/>
    <mergeCell ref="G4:G5"/>
    <mergeCell ref="A1:L1"/>
    <mergeCell ref="A2:L2"/>
    <mergeCell ref="A3:F3"/>
    <mergeCell ref="G3:L3"/>
    <mergeCell ref="C4:E4"/>
    <mergeCell ref="I4:K4"/>
  </mergeCells>
  <phoneticPr fontId="15" type="noConversion"/>
  <pageMargins left="1.1013888888888901" right="0.70763888888888904" top="0.74791666666666701" bottom="0.74791666666666701" header="0.31388888888888899" footer="0.31388888888888899"/>
  <pageSetup paperSize="9" orientation="landscape"/>
</worksheet>
</file>

<file path=xl/worksheets/sheet8.xml><?xml version="1.0" encoding="utf-8"?>
<worksheet xmlns="http://schemas.openxmlformats.org/spreadsheetml/2006/main" xmlns:r="http://schemas.openxmlformats.org/officeDocument/2006/relationships">
  <dimension ref="A1:N24"/>
  <sheetViews>
    <sheetView tabSelected="1" workbookViewId="0">
      <selection activeCell="E7" sqref="E7"/>
    </sheetView>
  </sheetViews>
  <sheetFormatPr defaultColWidth="9" defaultRowHeight="13.5"/>
  <cols>
    <col min="1" max="1" width="8" customWidth="1"/>
    <col min="2" max="2" width="27.875" customWidth="1"/>
    <col min="3" max="3" width="7.875" customWidth="1"/>
    <col min="4" max="4" width="10" customWidth="1"/>
    <col min="5" max="5" width="10.375" customWidth="1"/>
    <col min="6" max="6" width="10.625" customWidth="1"/>
    <col min="7" max="7" width="10.125" customWidth="1"/>
    <col min="8" max="8" width="9.5" customWidth="1"/>
    <col min="9" max="9" width="10.875" customWidth="1"/>
    <col min="10" max="10" width="8.375" customWidth="1"/>
    <col min="11" max="11" width="10.375" customWidth="1"/>
    <col min="12" max="12" width="10.125" customWidth="1"/>
    <col min="14" max="14" width="15" customWidth="1"/>
  </cols>
  <sheetData>
    <row r="1" spans="1:14" ht="33" customHeight="1">
      <c r="A1" s="89" t="s">
        <v>262</v>
      </c>
      <c r="B1" s="89"/>
      <c r="C1" s="89"/>
      <c r="D1" s="89"/>
      <c r="E1" s="89"/>
      <c r="F1" s="89"/>
      <c r="G1" s="89"/>
      <c r="H1" s="89"/>
      <c r="I1" s="89"/>
      <c r="J1" s="89"/>
      <c r="K1" s="89"/>
      <c r="L1" s="89"/>
    </row>
    <row r="2" spans="1:14" ht="15">
      <c r="A2" s="120" t="s">
        <v>263</v>
      </c>
      <c r="B2" s="121"/>
      <c r="C2" s="121"/>
      <c r="D2" s="121"/>
      <c r="E2" s="121"/>
      <c r="F2" s="121"/>
      <c r="G2" s="121"/>
      <c r="H2" s="121"/>
      <c r="I2" s="121"/>
      <c r="J2" s="121"/>
      <c r="K2" s="121"/>
      <c r="L2" s="121"/>
    </row>
    <row r="3" spans="1:14" ht="27" customHeight="1">
      <c r="A3" s="119" t="s">
        <v>28</v>
      </c>
      <c r="B3" s="119"/>
      <c r="C3" s="119" t="s">
        <v>281</v>
      </c>
      <c r="D3" s="119"/>
      <c r="E3" s="119"/>
      <c r="F3" s="122" t="s">
        <v>264</v>
      </c>
      <c r="G3" s="119" t="s">
        <v>265</v>
      </c>
      <c r="H3" s="119"/>
      <c r="I3" s="119"/>
      <c r="J3" s="119" t="s">
        <v>266</v>
      </c>
      <c r="K3" s="119"/>
      <c r="L3" s="119"/>
    </row>
    <row r="4" spans="1:14" s="1" customFormat="1" ht="27">
      <c r="A4" s="3" t="s">
        <v>35</v>
      </c>
      <c r="B4" s="3" t="s">
        <v>36</v>
      </c>
      <c r="C4" s="3" t="s">
        <v>38</v>
      </c>
      <c r="D4" s="3" t="s">
        <v>282</v>
      </c>
      <c r="E4" s="3" t="s">
        <v>267</v>
      </c>
      <c r="F4" s="123"/>
      <c r="G4" s="3" t="s">
        <v>38</v>
      </c>
      <c r="H4" s="3" t="s">
        <v>142</v>
      </c>
      <c r="I4" s="3" t="s">
        <v>143</v>
      </c>
      <c r="J4" s="3" t="s">
        <v>38</v>
      </c>
      <c r="K4" s="3" t="s">
        <v>282</v>
      </c>
      <c r="L4" s="3" t="s">
        <v>267</v>
      </c>
    </row>
    <row r="5" spans="1:14">
      <c r="A5" s="119" t="s">
        <v>37</v>
      </c>
      <c r="B5" s="119"/>
      <c r="C5" s="4">
        <v>1</v>
      </c>
      <c r="D5" s="4">
        <v>2</v>
      </c>
      <c r="E5" s="4">
        <v>3</v>
      </c>
      <c r="F5" s="4">
        <v>4</v>
      </c>
      <c r="G5" s="4">
        <v>5</v>
      </c>
      <c r="H5" s="4">
        <v>6</v>
      </c>
      <c r="I5" s="4">
        <v>7</v>
      </c>
      <c r="J5" s="4">
        <v>8</v>
      </c>
      <c r="K5" s="4">
        <v>9</v>
      </c>
      <c r="L5" s="4">
        <v>10</v>
      </c>
    </row>
    <row r="6" spans="1:14">
      <c r="A6" s="119" t="s">
        <v>38</v>
      </c>
      <c r="B6" s="119"/>
      <c r="C6" s="5">
        <v>135.08087499999999</v>
      </c>
      <c r="D6" s="5">
        <v>135.08087499999999</v>
      </c>
      <c r="E6" s="5">
        <v>0</v>
      </c>
      <c r="F6" s="5">
        <v>5045.3793429999996</v>
      </c>
      <c r="G6" s="5">
        <v>5031.5545410000004</v>
      </c>
      <c r="H6" s="5">
        <v>75.753635000000003</v>
      </c>
      <c r="I6" s="5">
        <v>4955.8009060000004</v>
      </c>
      <c r="J6" s="5">
        <v>148.905677</v>
      </c>
      <c r="K6" s="5">
        <v>148.905677</v>
      </c>
      <c r="L6" s="5">
        <v>0</v>
      </c>
      <c r="N6" s="12"/>
    </row>
    <row r="7" spans="1:14">
      <c r="A7" s="6" t="s">
        <v>63</v>
      </c>
      <c r="B7" s="6" t="s">
        <v>64</v>
      </c>
      <c r="C7" s="5">
        <v>0</v>
      </c>
      <c r="D7" s="5">
        <v>0</v>
      </c>
      <c r="E7" s="5">
        <v>0</v>
      </c>
      <c r="F7" s="5">
        <v>4905.4493430000002</v>
      </c>
      <c r="G7" s="5">
        <v>4891.6245410000001</v>
      </c>
      <c r="H7" s="5">
        <v>75.753635000000003</v>
      </c>
      <c r="I7" s="5">
        <v>4815.8709060000001</v>
      </c>
      <c r="J7" s="5">
        <v>13.824802</v>
      </c>
      <c r="K7" s="5">
        <v>13.824802</v>
      </c>
      <c r="L7" s="5">
        <v>0</v>
      </c>
    </row>
    <row r="8" spans="1:14" ht="29.25" customHeight="1">
      <c r="A8" s="6" t="s">
        <v>81</v>
      </c>
      <c r="B8" s="6" t="s">
        <v>82</v>
      </c>
      <c r="C8" s="5">
        <v>0</v>
      </c>
      <c r="D8" s="5">
        <v>0</v>
      </c>
      <c r="E8" s="5">
        <v>0</v>
      </c>
      <c r="F8" s="5">
        <v>2602.9360000000001</v>
      </c>
      <c r="G8" s="5">
        <v>2602.9360000000001</v>
      </c>
      <c r="H8" s="5">
        <v>0</v>
      </c>
      <c r="I8" s="5">
        <v>2602.9360000000001</v>
      </c>
      <c r="J8" s="5">
        <v>0</v>
      </c>
      <c r="K8" s="5">
        <v>0</v>
      </c>
      <c r="L8" s="5">
        <v>0</v>
      </c>
    </row>
    <row r="9" spans="1:14" s="2" customFormat="1">
      <c r="A9" s="7" t="s">
        <v>83</v>
      </c>
      <c r="B9" s="7" t="s">
        <v>84</v>
      </c>
      <c r="C9" s="8">
        <v>0</v>
      </c>
      <c r="D9" s="8">
        <v>0</v>
      </c>
      <c r="E9" s="8">
        <v>0</v>
      </c>
      <c r="F9" s="8">
        <v>2472</v>
      </c>
      <c r="G9" s="8">
        <v>2472</v>
      </c>
      <c r="H9" s="8">
        <v>0</v>
      </c>
      <c r="I9" s="8">
        <v>2472</v>
      </c>
      <c r="J9" s="8">
        <v>0</v>
      </c>
      <c r="K9" s="8">
        <v>0</v>
      </c>
      <c r="L9" s="8">
        <v>0</v>
      </c>
    </row>
    <row r="10" spans="1:14" s="2" customFormat="1">
      <c r="A10" s="7" t="s">
        <v>85</v>
      </c>
      <c r="B10" s="7" t="s">
        <v>86</v>
      </c>
      <c r="C10" s="8">
        <v>0</v>
      </c>
      <c r="D10" s="8">
        <v>0</v>
      </c>
      <c r="E10" s="8">
        <v>0</v>
      </c>
      <c r="F10" s="8">
        <v>106.93600000000001</v>
      </c>
      <c r="G10" s="8">
        <v>106.93600000000001</v>
      </c>
      <c r="H10" s="8">
        <v>0</v>
      </c>
      <c r="I10" s="8">
        <v>106.93600000000001</v>
      </c>
      <c r="J10" s="8">
        <v>0</v>
      </c>
      <c r="K10" s="8">
        <v>0</v>
      </c>
      <c r="L10" s="8">
        <v>0</v>
      </c>
    </row>
    <row r="11" spans="1:14" s="2" customFormat="1" ht="29.25" customHeight="1">
      <c r="A11" s="7" t="s">
        <v>87</v>
      </c>
      <c r="B11" s="7" t="s">
        <v>88</v>
      </c>
      <c r="C11" s="8">
        <v>0</v>
      </c>
      <c r="D11" s="8">
        <v>0</v>
      </c>
      <c r="E11" s="8">
        <v>0</v>
      </c>
      <c r="F11" s="8">
        <v>24</v>
      </c>
      <c r="G11" s="8">
        <v>24</v>
      </c>
      <c r="H11" s="8">
        <v>0</v>
      </c>
      <c r="I11" s="8">
        <v>24</v>
      </c>
      <c r="J11" s="8">
        <v>0</v>
      </c>
      <c r="K11" s="8">
        <v>0</v>
      </c>
      <c r="L11" s="8">
        <v>0</v>
      </c>
    </row>
    <row r="12" spans="1:14" s="2" customFormat="1" ht="27">
      <c r="A12" s="7" t="s">
        <v>89</v>
      </c>
      <c r="B12" s="7" t="s">
        <v>90</v>
      </c>
      <c r="C12" s="8">
        <v>0</v>
      </c>
      <c r="D12" s="8">
        <v>0</v>
      </c>
      <c r="E12" s="8">
        <v>0</v>
      </c>
      <c r="F12" s="8">
        <v>1996.45083</v>
      </c>
      <c r="G12" s="8">
        <v>1982.6260279999999</v>
      </c>
      <c r="H12" s="8">
        <v>27.810198</v>
      </c>
      <c r="I12" s="8">
        <v>1954.81583</v>
      </c>
      <c r="J12" s="8">
        <v>13.824802</v>
      </c>
      <c r="K12" s="8">
        <v>13.824802</v>
      </c>
      <c r="L12" s="8">
        <v>0</v>
      </c>
    </row>
    <row r="13" spans="1:14" s="2" customFormat="1">
      <c r="A13" s="7" t="s">
        <v>91</v>
      </c>
      <c r="B13" s="7" t="s">
        <v>92</v>
      </c>
      <c r="C13" s="8">
        <v>0</v>
      </c>
      <c r="D13" s="8">
        <v>0</v>
      </c>
      <c r="E13" s="8">
        <v>0</v>
      </c>
      <c r="F13" s="8">
        <v>1954.81583</v>
      </c>
      <c r="G13" s="8">
        <v>1954.81583</v>
      </c>
      <c r="H13" s="8">
        <v>0</v>
      </c>
      <c r="I13" s="8">
        <v>1954.81583</v>
      </c>
      <c r="J13" s="8">
        <v>0</v>
      </c>
      <c r="K13" s="8">
        <v>0</v>
      </c>
      <c r="L13" s="8">
        <v>0</v>
      </c>
    </row>
    <row r="14" spans="1:14" s="2" customFormat="1" ht="27">
      <c r="A14" s="7" t="s">
        <v>93</v>
      </c>
      <c r="B14" s="7" t="s">
        <v>94</v>
      </c>
      <c r="C14" s="8">
        <v>0</v>
      </c>
      <c r="D14" s="8">
        <v>0</v>
      </c>
      <c r="E14" s="8">
        <v>0</v>
      </c>
      <c r="F14" s="8">
        <v>41.634999999999998</v>
      </c>
      <c r="G14" s="8">
        <v>27.810198</v>
      </c>
      <c r="H14" s="8">
        <v>27.810198</v>
      </c>
      <c r="I14" s="8">
        <v>0</v>
      </c>
      <c r="J14" s="8">
        <v>13.824802</v>
      </c>
      <c r="K14" s="8">
        <v>13.824802</v>
      </c>
      <c r="L14" s="8">
        <v>0</v>
      </c>
    </row>
    <row r="15" spans="1:14" s="2" customFormat="1" ht="27">
      <c r="A15" s="7" t="s">
        <v>95</v>
      </c>
      <c r="B15" s="7" t="s">
        <v>96</v>
      </c>
      <c r="C15" s="8">
        <v>0</v>
      </c>
      <c r="D15" s="8">
        <v>0</v>
      </c>
      <c r="E15" s="8">
        <v>0</v>
      </c>
      <c r="F15" s="8">
        <v>306.06251300000002</v>
      </c>
      <c r="G15" s="8">
        <v>306.06251300000002</v>
      </c>
      <c r="H15" s="8">
        <v>47.943437000000003</v>
      </c>
      <c r="I15" s="8">
        <v>258.11907600000001</v>
      </c>
      <c r="J15" s="8">
        <v>0</v>
      </c>
      <c r="K15" s="8">
        <v>0</v>
      </c>
      <c r="L15" s="8">
        <v>0</v>
      </c>
      <c r="N15" s="13"/>
    </row>
    <row r="16" spans="1:14" s="2" customFormat="1">
      <c r="A16" s="7" t="s">
        <v>97</v>
      </c>
      <c r="B16" s="7" t="s">
        <v>98</v>
      </c>
      <c r="C16" s="8">
        <v>0</v>
      </c>
      <c r="D16" s="8">
        <v>0</v>
      </c>
      <c r="E16" s="8">
        <v>0</v>
      </c>
      <c r="F16" s="8">
        <v>306.06251300000002</v>
      </c>
      <c r="G16" s="8">
        <v>306.06251300000002</v>
      </c>
      <c r="H16" s="8">
        <v>47.943437000000003</v>
      </c>
      <c r="I16" s="8">
        <v>258.11907600000001</v>
      </c>
      <c r="J16" s="8">
        <v>0</v>
      </c>
      <c r="K16" s="8">
        <v>0</v>
      </c>
      <c r="L16" s="8">
        <v>0</v>
      </c>
    </row>
    <row r="17" spans="1:12" s="2" customFormat="1">
      <c r="A17" s="7" t="s">
        <v>169</v>
      </c>
      <c r="B17" s="7" t="s">
        <v>170</v>
      </c>
      <c r="C17" s="8">
        <v>135.08087499999999</v>
      </c>
      <c r="D17" s="8">
        <v>135.08087499999999</v>
      </c>
      <c r="E17" s="8">
        <v>0</v>
      </c>
      <c r="F17" s="8">
        <v>0</v>
      </c>
      <c r="G17" s="8">
        <v>0</v>
      </c>
      <c r="H17" s="8">
        <v>0</v>
      </c>
      <c r="I17" s="8">
        <v>0</v>
      </c>
      <c r="J17" s="8">
        <v>135.08087499999999</v>
      </c>
      <c r="K17" s="8">
        <v>135.08087499999999</v>
      </c>
      <c r="L17" s="8">
        <v>0</v>
      </c>
    </row>
    <row r="18" spans="1:12" s="2" customFormat="1" ht="27">
      <c r="A18" s="7" t="s">
        <v>268</v>
      </c>
      <c r="B18" s="7" t="s">
        <v>269</v>
      </c>
      <c r="C18" s="8">
        <v>135.08087499999999</v>
      </c>
      <c r="D18" s="8">
        <v>135.08087499999999</v>
      </c>
      <c r="E18" s="8">
        <v>0</v>
      </c>
      <c r="F18" s="8">
        <v>0</v>
      </c>
      <c r="G18" s="8">
        <v>0</v>
      </c>
      <c r="H18" s="8">
        <v>0</v>
      </c>
      <c r="I18" s="8">
        <v>0</v>
      </c>
      <c r="J18" s="8">
        <v>135.08087499999999</v>
      </c>
      <c r="K18" s="8">
        <v>135.08087499999999</v>
      </c>
      <c r="L18" s="8">
        <v>0</v>
      </c>
    </row>
    <row r="19" spans="1:12" s="2" customFormat="1">
      <c r="A19" s="7" t="s">
        <v>270</v>
      </c>
      <c r="B19" s="7" t="s">
        <v>271</v>
      </c>
      <c r="C19" s="8">
        <v>135.08087499999999</v>
      </c>
      <c r="D19" s="8">
        <v>135.08087499999999</v>
      </c>
      <c r="E19" s="8">
        <v>0</v>
      </c>
      <c r="F19" s="8">
        <v>0</v>
      </c>
      <c r="G19" s="8">
        <v>0</v>
      </c>
      <c r="H19" s="8">
        <v>0</v>
      </c>
      <c r="I19" s="8">
        <v>0</v>
      </c>
      <c r="J19" s="8">
        <v>135.08087499999999</v>
      </c>
      <c r="K19" s="8">
        <v>135.08087499999999</v>
      </c>
      <c r="L19" s="8">
        <v>0</v>
      </c>
    </row>
    <row r="20" spans="1:12" s="2" customFormat="1">
      <c r="A20" s="7" t="s">
        <v>131</v>
      </c>
      <c r="B20" s="7" t="s">
        <v>132</v>
      </c>
      <c r="C20" s="8">
        <v>0</v>
      </c>
      <c r="D20" s="8">
        <v>0</v>
      </c>
      <c r="E20" s="8">
        <v>0</v>
      </c>
      <c r="F20" s="8">
        <v>139.93</v>
      </c>
      <c r="G20" s="8">
        <v>139.93</v>
      </c>
      <c r="H20" s="8">
        <v>0</v>
      </c>
      <c r="I20" s="8">
        <v>139.93</v>
      </c>
      <c r="J20" s="8">
        <v>0</v>
      </c>
      <c r="K20" s="8">
        <v>0</v>
      </c>
      <c r="L20" s="8">
        <v>0</v>
      </c>
    </row>
    <row r="21" spans="1:12" s="2" customFormat="1" ht="27">
      <c r="A21" s="7" t="s">
        <v>133</v>
      </c>
      <c r="B21" s="7" t="s">
        <v>134</v>
      </c>
      <c r="C21" s="8">
        <v>0</v>
      </c>
      <c r="D21" s="8">
        <v>0</v>
      </c>
      <c r="E21" s="8">
        <v>0</v>
      </c>
      <c r="F21" s="8">
        <v>139.93</v>
      </c>
      <c r="G21" s="8">
        <v>139.93</v>
      </c>
      <c r="H21" s="8">
        <v>0</v>
      </c>
      <c r="I21" s="8">
        <v>139.93</v>
      </c>
      <c r="J21" s="8">
        <v>0</v>
      </c>
      <c r="K21" s="8">
        <v>0</v>
      </c>
      <c r="L21" s="8">
        <v>0</v>
      </c>
    </row>
    <row r="22" spans="1:12" s="2" customFormat="1" ht="27">
      <c r="A22" s="7" t="s">
        <v>135</v>
      </c>
      <c r="B22" s="7" t="s">
        <v>136</v>
      </c>
      <c r="C22" s="8">
        <v>0</v>
      </c>
      <c r="D22" s="8">
        <v>0</v>
      </c>
      <c r="E22" s="8">
        <v>0</v>
      </c>
      <c r="F22" s="8">
        <v>139.93</v>
      </c>
      <c r="G22" s="8">
        <v>139.93</v>
      </c>
      <c r="H22" s="8">
        <v>0</v>
      </c>
      <c r="I22" s="8">
        <v>139.93</v>
      </c>
      <c r="J22" s="8">
        <v>0</v>
      </c>
      <c r="K22" s="8">
        <v>0</v>
      </c>
      <c r="L22" s="8">
        <v>0</v>
      </c>
    </row>
    <row r="23" spans="1:12">
      <c r="A23" s="87" t="s">
        <v>272</v>
      </c>
      <c r="B23" s="87"/>
      <c r="C23" s="87"/>
      <c r="D23" s="87"/>
      <c r="E23" s="87"/>
      <c r="F23" s="87"/>
      <c r="G23" s="87"/>
      <c r="H23" s="87"/>
      <c r="I23" s="87"/>
      <c r="J23" s="87"/>
      <c r="K23" s="87"/>
      <c r="L23" s="87"/>
    </row>
    <row r="24" spans="1:12" ht="15">
      <c r="A24" s="10"/>
      <c r="B24" s="10"/>
      <c r="C24" s="10"/>
      <c r="D24" s="10"/>
      <c r="E24" s="10"/>
      <c r="F24" s="10"/>
      <c r="G24" s="11"/>
      <c r="H24" s="10"/>
      <c r="I24" s="10"/>
      <c r="J24" s="10"/>
      <c r="K24" s="10"/>
      <c r="L24" s="10"/>
    </row>
  </sheetData>
  <mergeCells count="10">
    <mergeCell ref="A5:B5"/>
    <mergeCell ref="A6:B6"/>
    <mergeCell ref="A23:L23"/>
    <mergeCell ref="A1:L1"/>
    <mergeCell ref="A2:L2"/>
    <mergeCell ref="A3:B3"/>
    <mergeCell ref="C3:E3"/>
    <mergeCell ref="G3:I3"/>
    <mergeCell ref="J3:L3"/>
    <mergeCell ref="F3:F4"/>
  </mergeCells>
  <phoneticPr fontId="15" type="noConversion"/>
  <pageMargins left="0.39" right="0.70763888888888904" top="0.74791666666666701" bottom="0.74791666666666701" header="0.31388888888888899" footer="0.313888888888888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3</vt:i4>
      </vt:variant>
    </vt:vector>
  </HeadingPairs>
  <TitlesOfParts>
    <vt:vector size="11" baseType="lpstr">
      <vt:lpstr>表一 收入支出决算总表</vt:lpstr>
      <vt:lpstr>表二 收入决算表</vt:lpstr>
      <vt:lpstr>表三 支出决算表</vt:lpstr>
      <vt:lpstr>表四 财政拨款收入支出决算总表</vt:lpstr>
      <vt:lpstr>表五 一般公共预算财政拨款支出决算表    </vt:lpstr>
      <vt:lpstr>表六 一般公共预算财政拨款基本支出决算表</vt:lpstr>
      <vt:lpstr>表七 一般公共预算财政拨款安排的“三公”经费支出决算表</vt:lpstr>
      <vt:lpstr>表八 政府性基金预算财政拨款收入支出决算表</vt:lpstr>
      <vt:lpstr>'表二 收入决算表'!Print_Titles</vt:lpstr>
      <vt:lpstr>'表三 支出决算表'!Print_Titles</vt:lpstr>
      <vt:lpstr>'表五 一般公共预算财政拨款支出决算表    '!Print_Titles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谢杨菲</dc:creator>
  <cp:lastModifiedBy>t</cp:lastModifiedBy>
  <cp:lastPrinted>2019-07-31T05:24:28Z</cp:lastPrinted>
  <dcterms:created xsi:type="dcterms:W3CDTF">2019-07-26T03:23:00Z</dcterms:created>
  <dcterms:modified xsi:type="dcterms:W3CDTF">2019-07-31T05:24:34Z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